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390" windowHeight="8085"/>
  </bookViews>
  <sheets>
    <sheet name="Round 1" sheetId="1" r:id="rId1"/>
    <sheet name="Round 2" sheetId="4" r:id="rId2"/>
    <sheet name="Round 3" sheetId="8" r:id="rId3"/>
    <sheet name="Final Ranking" sheetId="10" r:id="rId4"/>
    <sheet name="Sheet5" sheetId="9" state="hidden" r:id="rId5"/>
    <sheet name="Sheet 3" sheetId="5" state="hidden" r:id="rId6"/>
    <sheet name="Sheet2" sheetId="6" state="hidden" r:id="rId7"/>
  </sheets>
  <calcPr calcId="125725"/>
</workbook>
</file>

<file path=xl/calcChain.xml><?xml version="1.0" encoding="utf-8"?>
<calcChain xmlns="http://schemas.openxmlformats.org/spreadsheetml/2006/main">
  <c r="C3" i="8"/>
  <c r="C4"/>
  <c r="C5"/>
  <c r="C6"/>
  <c r="C7"/>
  <c r="C8"/>
  <c r="C9"/>
  <c r="C10"/>
  <c r="C11"/>
  <c r="C12"/>
  <c r="C13"/>
  <c r="C14"/>
  <c r="C15"/>
  <c r="C16"/>
  <c r="C17"/>
  <c r="C2"/>
  <c r="C3" i="4"/>
  <c r="C4"/>
  <c r="C5"/>
  <c r="C6"/>
  <c r="C7"/>
  <c r="C8"/>
  <c r="C9"/>
  <c r="C10"/>
  <c r="C11"/>
  <c r="C12"/>
  <c r="C13"/>
  <c r="C14"/>
  <c r="C15"/>
  <c r="C16"/>
  <c r="C17"/>
  <c r="C19" l="1"/>
  <c r="M3" i="8" l="1"/>
  <c r="C2" i="4"/>
  <c r="M16" i="8"/>
  <c r="M14"/>
  <c r="M12"/>
  <c r="M11"/>
  <c r="M8"/>
  <c r="M6"/>
  <c r="M4"/>
  <c r="B3" i="10"/>
  <c r="C3"/>
  <c r="D3"/>
  <c r="E3"/>
  <c r="A3"/>
  <c r="AJ21" i="8"/>
  <c r="AJ20"/>
  <c r="AJ19"/>
  <c r="AJ18"/>
  <c r="AJ17"/>
  <c r="M17"/>
  <c r="G17"/>
  <c r="E17"/>
  <c r="AJ16"/>
  <c r="G16"/>
  <c r="E16"/>
  <c r="AJ15"/>
  <c r="M15"/>
  <c r="G15"/>
  <c r="E15"/>
  <c r="AJ14"/>
  <c r="G14"/>
  <c r="E14"/>
  <c r="AJ13"/>
  <c r="M13"/>
  <c r="G13"/>
  <c r="E13"/>
  <c r="AJ12"/>
  <c r="G12"/>
  <c r="E12"/>
  <c r="AJ11"/>
  <c r="G11"/>
  <c r="E11"/>
  <c r="AJ10"/>
  <c r="G10"/>
  <c r="E10"/>
  <c r="AJ9"/>
  <c r="M9"/>
  <c r="G9"/>
  <c r="E9"/>
  <c r="AJ8"/>
  <c r="G8"/>
  <c r="E8"/>
  <c r="AJ7"/>
  <c r="M7"/>
  <c r="G7"/>
  <c r="E7"/>
  <c r="AJ6"/>
  <c r="G6"/>
  <c r="E6"/>
  <c r="AJ5"/>
  <c r="M5"/>
  <c r="G5"/>
  <c r="E5"/>
  <c r="AJ4"/>
  <c r="G4"/>
  <c r="E4"/>
  <c r="AJ3"/>
  <c r="G3"/>
  <c r="E3"/>
  <c r="AJ2"/>
  <c r="G2"/>
  <c r="E2"/>
  <c r="G3" i="4"/>
  <c r="G4"/>
  <c r="G5"/>
  <c r="G6"/>
  <c r="G7"/>
  <c r="G8"/>
  <c r="G9"/>
  <c r="G10"/>
  <c r="G11"/>
  <c r="G12"/>
  <c r="G13"/>
  <c r="G14"/>
  <c r="G15"/>
  <c r="G16"/>
  <c r="G17"/>
  <c r="G2"/>
  <c r="E3"/>
  <c r="E4"/>
  <c r="E5"/>
  <c r="E6"/>
  <c r="E7"/>
  <c r="E8"/>
  <c r="E9"/>
  <c r="E10"/>
  <c r="E11"/>
  <c r="E12"/>
  <c r="E13"/>
  <c r="E14"/>
  <c r="E15"/>
  <c r="E16"/>
  <c r="E17"/>
  <c r="E2"/>
  <c r="G3" i="1"/>
  <c r="G4"/>
  <c r="G5"/>
  <c r="G6"/>
  <c r="G7"/>
  <c r="G8"/>
  <c r="G9"/>
  <c r="G10"/>
  <c r="G11"/>
  <c r="G12"/>
  <c r="G13"/>
  <c r="G14"/>
  <c r="G15"/>
  <c r="G16"/>
  <c r="G17"/>
  <c r="G2"/>
  <c r="C19"/>
  <c r="B3"/>
  <c r="K3" s="1"/>
  <c r="B4"/>
  <c r="B5"/>
  <c r="B6"/>
  <c r="B7"/>
  <c r="B8"/>
  <c r="B9"/>
  <c r="B10"/>
  <c r="B11"/>
  <c r="B12"/>
  <c r="B13"/>
  <c r="B14"/>
  <c r="B15"/>
  <c r="B16"/>
  <c r="B17"/>
  <c r="B2"/>
  <c r="E3"/>
  <c r="E4"/>
  <c r="E5"/>
  <c r="E6"/>
  <c r="E7"/>
  <c r="E8"/>
  <c r="E9"/>
  <c r="E10"/>
  <c r="E11"/>
  <c r="E12"/>
  <c r="E13"/>
  <c r="E14"/>
  <c r="E15"/>
  <c r="E16"/>
  <c r="E17"/>
  <c r="E2"/>
  <c r="B6" i="4" l="1"/>
  <c r="K6" s="1"/>
  <c r="C19" i="8"/>
  <c r="B10"/>
  <c r="J10" s="1"/>
  <c r="B10" i="4"/>
  <c r="J10" s="1"/>
  <c r="B5" i="8"/>
  <c r="L5" s="1"/>
  <c r="B13"/>
  <c r="J13" s="1"/>
  <c r="B12"/>
  <c r="J12" s="1"/>
  <c r="B4"/>
  <c r="N4" s="1"/>
  <c r="B16" i="4"/>
  <c r="L16" s="1"/>
  <c r="B8"/>
  <c r="J8" s="1"/>
  <c r="B14"/>
  <c r="K14" s="1"/>
  <c r="B17"/>
  <c r="K17" s="1"/>
  <c r="M2" i="8"/>
  <c r="B9"/>
  <c r="L9" s="1"/>
  <c r="B6"/>
  <c r="L6" s="1"/>
  <c r="B3"/>
  <c r="B11"/>
  <c r="N11" s="1"/>
  <c r="B8"/>
  <c r="N8" s="1"/>
  <c r="B16"/>
  <c r="L16" s="1"/>
  <c r="M10"/>
  <c r="B17"/>
  <c r="L17" s="1"/>
  <c r="B14"/>
  <c r="J14" s="1"/>
  <c r="B2"/>
  <c r="K2" s="1"/>
  <c r="B7"/>
  <c r="N7" s="1"/>
  <c r="B15"/>
  <c r="J15" s="1"/>
  <c r="B11" i="4"/>
  <c r="J11" s="1"/>
  <c r="B4"/>
  <c r="J4" s="1"/>
  <c r="B12"/>
  <c r="J12" s="1"/>
  <c r="B5"/>
  <c r="L5" s="1"/>
  <c r="B13"/>
  <c r="L13" s="1"/>
  <c r="B15"/>
  <c r="J15" s="1"/>
  <c r="B7"/>
  <c r="J7" s="1"/>
  <c r="B9"/>
  <c r="L9" s="1"/>
  <c r="B2"/>
  <c r="K2" s="1"/>
  <c r="B3"/>
  <c r="J5"/>
  <c r="K3" i="5"/>
  <c r="K4"/>
  <c r="K5"/>
  <c r="K6"/>
  <c r="K7"/>
  <c r="K8"/>
  <c r="K9"/>
  <c r="K10"/>
  <c r="K11"/>
  <c r="K12"/>
  <c r="K13"/>
  <c r="K14"/>
  <c r="K15"/>
  <c r="K16"/>
  <c r="K17"/>
  <c r="K2"/>
  <c r="J17"/>
  <c r="I17"/>
  <c r="H17"/>
  <c r="G17"/>
  <c r="J16"/>
  <c r="I16"/>
  <c r="H16"/>
  <c r="G16"/>
  <c r="J15"/>
  <c r="I15"/>
  <c r="H15"/>
  <c r="G15"/>
  <c r="J14"/>
  <c r="I14"/>
  <c r="H14"/>
  <c r="G14"/>
  <c r="J13"/>
  <c r="I13"/>
  <c r="H13"/>
  <c r="G13"/>
  <c r="J12"/>
  <c r="I12"/>
  <c r="H12"/>
  <c r="G12"/>
  <c r="J11"/>
  <c r="I11"/>
  <c r="H11"/>
  <c r="G11"/>
  <c r="J10"/>
  <c r="I10"/>
  <c r="H10"/>
  <c r="G10"/>
  <c r="J9"/>
  <c r="I9"/>
  <c r="H9"/>
  <c r="G9"/>
  <c r="J8"/>
  <c r="I8"/>
  <c r="H8"/>
  <c r="G8"/>
  <c r="J7"/>
  <c r="I7"/>
  <c r="H7"/>
  <c r="G7"/>
  <c r="J6"/>
  <c r="I6"/>
  <c r="H6"/>
  <c r="G6"/>
  <c r="J5"/>
  <c r="I5"/>
  <c r="H5"/>
  <c r="G5"/>
  <c r="J4"/>
  <c r="I4"/>
  <c r="H4"/>
  <c r="G4"/>
  <c r="J3"/>
  <c r="I3"/>
  <c r="H3"/>
  <c r="G3"/>
  <c r="J2"/>
  <c r="I2"/>
  <c r="H2"/>
  <c r="G2"/>
  <c r="AF21"/>
  <c r="AF20"/>
  <c r="AF19"/>
  <c r="AF18"/>
  <c r="AF17"/>
  <c r="AF16"/>
  <c r="AF15"/>
  <c r="AF14"/>
  <c r="AF13"/>
  <c r="AF12"/>
  <c r="AF11"/>
  <c r="AF10"/>
  <c r="AF9"/>
  <c r="AF8"/>
  <c r="AF7"/>
  <c r="AF6"/>
  <c r="AF5"/>
  <c r="AF4"/>
  <c r="AF3"/>
  <c r="AF2"/>
  <c r="M16" i="4"/>
  <c r="M13"/>
  <c r="M10"/>
  <c r="M8"/>
  <c r="M6"/>
  <c r="M4"/>
  <c r="M2"/>
  <c r="K8" i="1"/>
  <c r="J7"/>
  <c r="J12"/>
  <c r="K6"/>
  <c r="K5"/>
  <c r="K17"/>
  <c r="K14"/>
  <c r="K12"/>
  <c r="K9"/>
  <c r="K7"/>
  <c r="K4"/>
  <c r="K2"/>
  <c r="J17"/>
  <c r="J14"/>
  <c r="J11"/>
  <c r="J10"/>
  <c r="J9"/>
  <c r="J4"/>
  <c r="J3"/>
  <c r="J2"/>
  <c r="K16"/>
  <c r="K15"/>
  <c r="J5"/>
  <c r="K10"/>
  <c r="K13"/>
  <c r="K11"/>
  <c r="M3" i="4"/>
  <c r="M5"/>
  <c r="M7"/>
  <c r="M9"/>
  <c r="M11"/>
  <c r="M12"/>
  <c r="M14"/>
  <c r="M15"/>
  <c r="M17"/>
  <c r="AH3"/>
  <c r="AH4"/>
  <c r="AH5"/>
  <c r="AH6"/>
  <c r="AH7"/>
  <c r="AH8"/>
  <c r="AH9"/>
  <c r="AH10"/>
  <c r="AH11"/>
  <c r="AH12"/>
  <c r="AH13"/>
  <c r="AH14"/>
  <c r="AH15"/>
  <c r="AH16"/>
  <c r="AH17"/>
  <c r="AH18"/>
  <c r="AH19"/>
  <c r="AH20"/>
  <c r="AH21"/>
  <c r="AH2"/>
  <c r="L2" i="1"/>
  <c r="L3"/>
  <c r="L4"/>
  <c r="L5"/>
  <c r="J6"/>
  <c r="L6"/>
  <c r="L7"/>
  <c r="J8"/>
  <c r="L8"/>
  <c r="L9"/>
  <c r="L10"/>
  <c r="L11"/>
  <c r="L12"/>
  <c r="J13"/>
  <c r="L13"/>
  <c r="L14"/>
  <c r="J15"/>
  <c r="L15"/>
  <c r="J16"/>
  <c r="L16"/>
  <c r="L17"/>
  <c r="J3" i="4" l="1"/>
  <c r="K3"/>
  <c r="J3" i="8"/>
  <c r="K3"/>
  <c r="L6" i="4"/>
  <c r="J6"/>
  <c r="K10" i="8"/>
  <c r="L10"/>
  <c r="N5"/>
  <c r="L17" i="4"/>
  <c r="N10" i="8"/>
  <c r="K16" i="4"/>
  <c r="N2" i="8"/>
  <c r="N14"/>
  <c r="L13"/>
  <c r="K6"/>
  <c r="K9"/>
  <c r="J17" i="4"/>
  <c r="J17" i="8"/>
  <c r="J2"/>
  <c r="L12"/>
  <c r="Q4"/>
  <c r="D5" i="10" s="1"/>
  <c r="L10" i="4"/>
  <c r="L15" i="8"/>
  <c r="L14"/>
  <c r="K13"/>
  <c r="K17"/>
  <c r="K14"/>
  <c r="K10" i="4"/>
  <c r="N13" i="8"/>
  <c r="K5"/>
  <c r="K15"/>
  <c r="J16"/>
  <c r="J11"/>
  <c r="J5"/>
  <c r="J7"/>
  <c r="N12"/>
  <c r="L3"/>
  <c r="K5" i="4"/>
  <c r="L11"/>
  <c r="K11" i="8"/>
  <c r="K4"/>
  <c r="L14" i="4"/>
  <c r="N3" i="8"/>
  <c r="L8"/>
  <c r="K12"/>
  <c r="N6"/>
  <c r="K7"/>
  <c r="J14" i="4"/>
  <c r="J16"/>
  <c r="K11"/>
  <c r="K8"/>
  <c r="L8"/>
  <c r="L2" i="8"/>
  <c r="L4"/>
  <c r="J9" i="4"/>
  <c r="L7" i="8"/>
  <c r="J4"/>
  <c r="J6"/>
  <c r="K8"/>
  <c r="N15"/>
  <c r="J8"/>
  <c r="N17"/>
  <c r="K16"/>
  <c r="N16"/>
  <c r="L11"/>
  <c r="J9"/>
  <c r="N9"/>
  <c r="K9" i="4"/>
  <c r="K13"/>
  <c r="K7"/>
  <c r="L7"/>
  <c r="J13"/>
  <c r="K15"/>
  <c r="L15"/>
  <c r="L2"/>
  <c r="L3"/>
  <c r="K12"/>
  <c r="L12"/>
  <c r="J2"/>
  <c r="K4"/>
  <c r="L4"/>
  <c r="N3" i="1"/>
  <c r="N1"/>
  <c r="N5" i="5"/>
  <c r="N2" i="1"/>
  <c r="N2" i="5"/>
  <c r="N3"/>
  <c r="N1"/>
  <c r="N4"/>
  <c r="O4" i="4"/>
  <c r="Q5" i="8" l="1"/>
  <c r="E5" i="10" s="1"/>
  <c r="Q2" i="8"/>
  <c r="B5" i="10" s="1"/>
  <c r="O2" i="4"/>
  <c r="Q1" i="8"/>
  <c r="A5" i="10" s="1"/>
  <c r="O1" i="4"/>
  <c r="Q3" i="8"/>
  <c r="C5" i="10" s="1"/>
  <c r="O3" i="4"/>
  <c r="B1" i="10" l="1"/>
</calcChain>
</file>

<file path=xl/sharedStrings.xml><?xml version="1.0" encoding="utf-8"?>
<sst xmlns="http://schemas.openxmlformats.org/spreadsheetml/2006/main" count="147" uniqueCount="46">
  <si>
    <t>Symbol</t>
  </si>
  <si>
    <t>Mg</t>
  </si>
  <si>
    <t>Al</t>
  </si>
  <si>
    <t>Si</t>
  </si>
  <si>
    <t>Cu</t>
  </si>
  <si>
    <t>Zn</t>
  </si>
  <si>
    <t>Ga</t>
  </si>
  <si>
    <t>Ge</t>
  </si>
  <si>
    <t>Ag</t>
  </si>
  <si>
    <t>Cd</t>
  </si>
  <si>
    <t>In</t>
  </si>
  <si>
    <t>Sn</t>
  </si>
  <si>
    <t>Sb</t>
  </si>
  <si>
    <t>Te</t>
  </si>
  <si>
    <t>Au</t>
  </si>
  <si>
    <t>Hg</t>
  </si>
  <si>
    <t>Pb</t>
  </si>
  <si>
    <t>Efficiency</t>
  </si>
  <si>
    <t>Toxicity</t>
  </si>
  <si>
    <t>Composition</t>
  </si>
  <si>
    <t>EFFICIENCY</t>
  </si>
  <si>
    <t>TOXICITY</t>
  </si>
  <si>
    <t>Availability</t>
  </si>
  <si>
    <t>Density</t>
  </si>
  <si>
    <t>density</t>
  </si>
  <si>
    <t>Cost</t>
  </si>
  <si>
    <t>Magnesium (Mg)</t>
  </si>
  <si>
    <t>Aluminum (Al)</t>
  </si>
  <si>
    <t>Power Loss</t>
  </si>
  <si>
    <t>Scarcity</t>
  </si>
  <si>
    <t>Silicon (Si)</t>
  </si>
  <si>
    <t>Copper (Cu)</t>
  </si>
  <si>
    <t>Zinc (Zn)</t>
  </si>
  <si>
    <t>Gallium (Ga)</t>
  </si>
  <si>
    <t>Germanium (Ge)</t>
  </si>
  <si>
    <t>Silver (Ag)</t>
  </si>
  <si>
    <t>Cadmium (Cd)</t>
  </si>
  <si>
    <t>Indium (In)</t>
  </si>
  <si>
    <t>Tin (Sn)</t>
  </si>
  <si>
    <t>Antimony (Sb)</t>
  </si>
  <si>
    <t>Tellerium (Te)</t>
  </si>
  <si>
    <t>Gold (Au)</t>
  </si>
  <si>
    <t>Mercury (Hg)</t>
  </si>
  <si>
    <t>Lead (Pb)</t>
  </si>
  <si>
    <t>Weight</t>
  </si>
  <si>
    <t>FINAL SCORE :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</si>
</sst>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Helvetica Neue"/>
    </font>
    <font>
      <sz val="11"/>
      <name val="Calibri"/>
      <family val="2"/>
      <scheme val="minor"/>
    </font>
    <font>
      <sz val="10"/>
      <name val="Helvetica Neue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6" fillId="0" borderId="0" xfId="0" applyFont="1"/>
    <xf numFmtId="0" fontId="4" fillId="0" borderId="0" xfId="0" applyFont="1"/>
    <xf numFmtId="0" fontId="7" fillId="5" borderId="2" xfId="0" applyNumberFormat="1" applyFont="1" applyFill="1" applyBorder="1" applyAlignment="1">
      <alignment vertical="top"/>
    </xf>
    <xf numFmtId="0" fontId="7" fillId="0" borderId="2" xfId="0" applyNumberFormat="1" applyFont="1" applyFill="1" applyBorder="1" applyAlignment="1">
      <alignment vertical="top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9" fillId="0" borderId="0" xfId="0" applyFont="1"/>
    <xf numFmtId="0" fontId="6" fillId="4" borderId="0" xfId="0" applyFont="1" applyFill="1"/>
    <xf numFmtId="0" fontId="10" fillId="3" borderId="1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5" borderId="3" xfId="0" applyNumberFormat="1" applyFont="1" applyFill="1" applyBorder="1" applyAlignment="1">
      <alignment vertical="top"/>
    </xf>
    <xf numFmtId="0" fontId="6" fillId="0" borderId="4" xfId="0" applyFont="1" applyBorder="1"/>
    <xf numFmtId="0" fontId="6" fillId="0" borderId="2" xfId="0" applyFont="1" applyBorder="1"/>
    <xf numFmtId="0" fontId="9" fillId="0" borderId="2" xfId="0" applyFont="1" applyBorder="1"/>
    <xf numFmtId="0" fontId="4" fillId="0" borderId="2" xfId="0" applyFont="1" applyBorder="1"/>
    <xf numFmtId="0" fontId="0" fillId="0" borderId="0" xfId="0" applyAlignment="1" applyProtection="1">
      <alignment horizontal="center"/>
    </xf>
    <xf numFmtId="0" fontId="0" fillId="0" borderId="0" xfId="0" applyProtection="1"/>
    <xf numFmtId="2" fontId="5" fillId="5" borderId="2" xfId="0" applyNumberFormat="1" applyFont="1" applyFill="1" applyBorder="1" applyAlignment="1" applyProtection="1">
      <alignment vertical="top"/>
    </xf>
    <xf numFmtId="0" fontId="0" fillId="0" borderId="0" xfId="0" applyBorder="1" applyProtection="1"/>
    <xf numFmtId="0" fontId="5" fillId="5" borderId="0" xfId="0" applyNumberFormat="1" applyFont="1" applyFill="1" applyBorder="1" applyAlignment="1" applyProtection="1">
      <alignment vertical="top"/>
    </xf>
    <xf numFmtId="0" fontId="0" fillId="0" borderId="0" xfId="0" applyBorder="1" applyAlignment="1" applyProtection="1">
      <alignment horizontal="center"/>
    </xf>
    <xf numFmtId="0" fontId="5" fillId="5" borderId="2" xfId="0" applyNumberFormat="1" applyFont="1" applyFill="1" applyBorder="1" applyAlignment="1" applyProtection="1">
      <alignment vertical="top"/>
    </xf>
    <xf numFmtId="0" fontId="5" fillId="0" borderId="2" xfId="0" applyNumberFormat="1" applyFont="1" applyFill="1" applyBorder="1" applyAlignment="1" applyProtection="1">
      <alignment vertical="top"/>
    </xf>
    <xf numFmtId="0" fontId="5" fillId="5" borderId="5" xfId="0" applyNumberFormat="1" applyFont="1" applyFill="1" applyBorder="1" applyAlignment="1" applyProtection="1">
      <alignment vertical="top"/>
    </xf>
    <xf numFmtId="0" fontId="6" fillId="4" borderId="0" xfId="0" applyFont="1" applyFill="1" applyProtection="1"/>
    <xf numFmtId="0" fontId="6" fillId="0" borderId="0" xfId="0" applyFont="1" applyProtection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11" fillId="0" borderId="0" xfId="0" applyFont="1" applyAlignment="1" applyProtection="1">
      <protection locked="0"/>
    </xf>
    <xf numFmtId="0" fontId="4" fillId="0" borderId="0" xfId="0" applyFont="1" applyProtection="1"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center"/>
      <protection locked="0"/>
    </xf>
    <xf numFmtId="0" fontId="5" fillId="5" borderId="2" xfId="0" applyNumberFormat="1" applyFont="1" applyFill="1" applyBorder="1" applyAlignment="1" applyProtection="1">
      <alignment vertical="top"/>
      <protection locked="0"/>
    </xf>
    <xf numFmtId="0" fontId="5" fillId="5" borderId="0" xfId="0" applyNumberFormat="1" applyFont="1" applyFill="1" applyBorder="1" applyAlignment="1" applyProtection="1">
      <alignment vertical="top"/>
      <protection locked="0"/>
    </xf>
    <xf numFmtId="0" fontId="5" fillId="0" borderId="2" xfId="0" applyNumberFormat="1" applyFont="1" applyFill="1" applyBorder="1" applyAlignment="1" applyProtection="1">
      <alignment vertical="top"/>
      <protection locked="0"/>
    </xf>
    <xf numFmtId="0" fontId="5" fillId="5" borderId="5" xfId="0" applyNumberFormat="1" applyFont="1" applyFill="1" applyBorder="1" applyAlignment="1" applyProtection="1">
      <alignment vertical="top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1" fillId="0" borderId="0" xfId="0" applyFont="1" applyProtection="1"/>
    <xf numFmtId="0" fontId="9" fillId="0" borderId="0" xfId="0" applyFont="1" applyProtection="1"/>
    <xf numFmtId="0" fontId="5" fillId="0" borderId="0" xfId="0" applyNumberFormat="1" applyFont="1" applyFill="1" applyBorder="1" applyAlignment="1" applyProtection="1">
      <alignment vertical="top"/>
    </xf>
    <xf numFmtId="2" fontId="7" fillId="5" borderId="2" xfId="0" applyNumberFormat="1" applyFont="1" applyFill="1" applyBorder="1" applyAlignment="1">
      <alignment vertical="top"/>
    </xf>
    <xf numFmtId="2" fontId="6" fillId="4" borderId="0" xfId="0" applyNumberFormat="1" applyFont="1" applyFill="1"/>
    <xf numFmtId="2" fontId="6" fillId="0" borderId="0" xfId="0" applyNumberFormat="1" applyFont="1"/>
    <xf numFmtId="2" fontId="6" fillId="4" borderId="0" xfId="0" applyNumberFormat="1" applyFont="1" applyFill="1" applyProtection="1"/>
    <xf numFmtId="2" fontId="6" fillId="0" borderId="0" xfId="0" applyNumberFormat="1" applyFont="1" applyProtection="1"/>
    <xf numFmtId="2" fontId="0" fillId="0" borderId="0" xfId="0" applyNumberFormat="1" applyProtection="1"/>
    <xf numFmtId="2" fontId="0" fillId="0" borderId="0" xfId="0" applyNumberFormat="1"/>
    <xf numFmtId="2" fontId="1" fillId="0" borderId="0" xfId="0" applyNumberFormat="1" applyFont="1"/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'Round 1'!$F$2:$F$17</c:f>
              <c:numCache>
                <c:formatCode>General</c:formatCode>
                <c:ptCount val="16"/>
                <c:pt idx="0">
                  <c:v>1.74</c:v>
                </c:pt>
                <c:pt idx="1">
                  <c:v>1.42</c:v>
                </c:pt>
                <c:pt idx="2">
                  <c:v>1.52</c:v>
                </c:pt>
                <c:pt idx="3">
                  <c:v>2.2000000000000002</c:v>
                </c:pt>
                <c:pt idx="4">
                  <c:v>2.29</c:v>
                </c:pt>
                <c:pt idx="5">
                  <c:v>2.4900000000000002</c:v>
                </c:pt>
                <c:pt idx="6">
                  <c:v>2.5099999999999998</c:v>
                </c:pt>
                <c:pt idx="7">
                  <c:v>2.6019999999999999</c:v>
                </c:pt>
                <c:pt idx="8">
                  <c:v>3.29</c:v>
                </c:pt>
                <c:pt idx="9">
                  <c:v>2.81</c:v>
                </c:pt>
                <c:pt idx="10">
                  <c:v>2.82</c:v>
                </c:pt>
                <c:pt idx="11">
                  <c:v>2.87</c:v>
                </c:pt>
                <c:pt idx="12">
                  <c:v>2.87</c:v>
                </c:pt>
                <c:pt idx="13">
                  <c:v>2.14</c:v>
                </c:pt>
                <c:pt idx="14">
                  <c:v>3.39</c:v>
                </c:pt>
                <c:pt idx="15">
                  <c:v>3.54</c:v>
                </c:pt>
              </c:numCache>
            </c:numRef>
          </c:xVal>
          <c:yVal>
            <c:numRef>
              <c:f>'Round 1'!$G$2:$G$17</c:f>
              <c:numCache>
                <c:formatCode>0.00</c:formatCode>
                <c:ptCount val="16"/>
                <c:pt idx="0">
                  <c:v>0.5376344086021505</c:v>
                </c:pt>
                <c:pt idx="1">
                  <c:v>0.53191489361702127</c:v>
                </c:pt>
                <c:pt idx="2">
                  <c:v>0.58823529411764708</c:v>
                </c:pt>
                <c:pt idx="3">
                  <c:v>0.50505050505050508</c:v>
                </c:pt>
                <c:pt idx="4">
                  <c:v>0.5988023952095809</c:v>
                </c:pt>
                <c:pt idx="5">
                  <c:v>0.6097560975609756</c:v>
                </c:pt>
                <c:pt idx="6">
                  <c:v>0.5</c:v>
                </c:pt>
                <c:pt idx="7">
                  <c:v>0.90909090909090906</c:v>
                </c:pt>
                <c:pt idx="8">
                  <c:v>0.46728971962616822</c:v>
                </c:pt>
                <c:pt idx="9">
                  <c:v>0.61349693251533743</c:v>
                </c:pt>
                <c:pt idx="10">
                  <c:v>0.46728971962616822</c:v>
                </c:pt>
                <c:pt idx="11">
                  <c:v>0.7407407407407407</c:v>
                </c:pt>
                <c:pt idx="12">
                  <c:v>0.70921985815602839</c:v>
                </c:pt>
                <c:pt idx="13">
                  <c:v>0.4504504504504504</c:v>
                </c:pt>
                <c:pt idx="14">
                  <c:v>0.92592592592592582</c:v>
                </c:pt>
                <c:pt idx="15">
                  <c:v>0.67567567567567566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0100-45EB-8EBF-A3A880645C00}"/>
            </c:ext>
          </c:extLst>
        </c:ser>
        <c:ser>
          <c:idx val="1"/>
          <c:order val="1"/>
          <c:spPr>
            <a:ln w="19050">
              <a:noFill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'Round 1'!$N$2:$R$2</c:f>
              <c:numCache>
                <c:formatCode>General</c:formatCode>
                <c:ptCount val="5"/>
                <c:pt idx="0" formatCode="0.00">
                  <c:v>0</c:v>
                </c:pt>
              </c:numCache>
            </c:numRef>
          </c:xVal>
          <c:yVal>
            <c:numRef>
              <c:f>'Round 1'!$N$3:$R$3</c:f>
              <c:numCache>
                <c:formatCode>General</c:formatCode>
                <c:ptCount val="5"/>
                <c:pt idx="0" formatCode="0.0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0100-45EB-8EBF-A3A880645C00}"/>
            </c:ext>
          </c:extLst>
        </c:ser>
        <c:dLbls/>
        <c:axId val="101427456"/>
        <c:axId val="62275968"/>
      </c:scatterChart>
      <c:valAx>
        <c:axId val="1014274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en-US" sz="1050"/>
                  <a:t>Toxicity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62275968"/>
        <c:crosses val="autoZero"/>
        <c:crossBetween val="midCat"/>
      </c:valAx>
      <c:valAx>
        <c:axId val="6227596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Scarcity</a:t>
                </a:r>
              </a:p>
            </c:rich>
          </c:tx>
          <c:layout/>
        </c:title>
        <c:numFmt formatCode="0.00" sourceLinked="1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101427456"/>
        <c:crosses val="autoZero"/>
        <c:crossBetween val="midCat"/>
      </c:valAx>
      <c:spPr>
        <a:ln w="19050">
          <a:solidFill>
            <a:schemeClr val="tx1"/>
          </a:solidFill>
        </a:ln>
      </c:spPr>
    </c:plotArea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'Round 3'!$I$2:$I$17</c:f>
              <c:numCache>
                <c:formatCode>General</c:formatCode>
                <c:ptCount val="16"/>
                <c:pt idx="0">
                  <c:v>0.13400000000000001</c:v>
                </c:pt>
                <c:pt idx="1">
                  <c:v>0.159</c:v>
                </c:pt>
                <c:pt idx="2">
                  <c:v>0.25800000000000001</c:v>
                </c:pt>
                <c:pt idx="3">
                  <c:v>0.28999999999999998</c:v>
                </c:pt>
                <c:pt idx="4">
                  <c:v>0.34100000000000003</c:v>
                </c:pt>
                <c:pt idx="5">
                  <c:v>0.35099999999999998</c:v>
                </c:pt>
                <c:pt idx="6">
                  <c:v>0.41</c:v>
                </c:pt>
                <c:pt idx="7">
                  <c:v>0.438</c:v>
                </c:pt>
                <c:pt idx="8">
                  <c:v>0.51200000000000001</c:v>
                </c:pt>
                <c:pt idx="9">
                  <c:v>0.57999999999999996</c:v>
                </c:pt>
                <c:pt idx="10">
                  <c:v>0.61299999999999999</c:v>
                </c:pt>
                <c:pt idx="11">
                  <c:v>0.71499999999999997</c:v>
                </c:pt>
                <c:pt idx="12">
                  <c:v>0.84299999999999997</c:v>
                </c:pt>
                <c:pt idx="13">
                  <c:v>0.91300000000000003</c:v>
                </c:pt>
                <c:pt idx="14">
                  <c:v>0.94599999999999995</c:v>
                </c:pt>
                <c:pt idx="15">
                  <c:v>0.99</c:v>
                </c:pt>
              </c:numCache>
            </c:numRef>
          </c:xVal>
          <c:yVal>
            <c:numRef>
              <c:f>'Round 3'!$G$2:$G$17</c:f>
              <c:numCache>
                <c:formatCode>General</c:formatCode>
                <c:ptCount val="16"/>
                <c:pt idx="0">
                  <c:v>0.5376344086021505</c:v>
                </c:pt>
                <c:pt idx="1">
                  <c:v>0.53191489361702127</c:v>
                </c:pt>
                <c:pt idx="2">
                  <c:v>0.58823529411764708</c:v>
                </c:pt>
                <c:pt idx="3">
                  <c:v>0.50505050505050508</c:v>
                </c:pt>
                <c:pt idx="4">
                  <c:v>0.5988023952095809</c:v>
                </c:pt>
                <c:pt idx="5">
                  <c:v>0.6097560975609756</c:v>
                </c:pt>
                <c:pt idx="6">
                  <c:v>0.5</c:v>
                </c:pt>
                <c:pt idx="7">
                  <c:v>0.90909090909090906</c:v>
                </c:pt>
                <c:pt idx="8">
                  <c:v>0.46728971962616822</c:v>
                </c:pt>
                <c:pt idx="9">
                  <c:v>0.61349693251533743</c:v>
                </c:pt>
                <c:pt idx="10">
                  <c:v>0.46728971962616822</c:v>
                </c:pt>
                <c:pt idx="11">
                  <c:v>0.7407407407407407</c:v>
                </c:pt>
                <c:pt idx="12">
                  <c:v>0.70921985815602839</c:v>
                </c:pt>
                <c:pt idx="13">
                  <c:v>0.4504504504504504</c:v>
                </c:pt>
                <c:pt idx="14">
                  <c:v>0.92592592592592582</c:v>
                </c:pt>
                <c:pt idx="15">
                  <c:v>0.67567567567567566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6015-4103-B547-7ABDCB4EA4EE}"/>
            </c:ext>
          </c:extLst>
        </c:ser>
        <c:ser>
          <c:idx val="1"/>
          <c:order val="1"/>
          <c:spPr>
            <a:ln w="19050">
              <a:noFill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'Round 3'!$Q$4:$U$4</c:f>
              <c:numCache>
                <c:formatCode>General</c:formatCode>
                <c:ptCount val="5"/>
                <c:pt idx="0" formatCode="0.00">
                  <c:v>0</c:v>
                </c:pt>
              </c:numCache>
            </c:numRef>
          </c:xVal>
          <c:yVal>
            <c:numRef>
              <c:f>'Round 3'!$Q$3:$U$3</c:f>
              <c:numCache>
                <c:formatCode>General</c:formatCode>
                <c:ptCount val="5"/>
                <c:pt idx="0" formatCode="0.0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6015-4103-B547-7ABDCB4EA4EE}"/>
            </c:ext>
          </c:extLst>
        </c:ser>
        <c:dLbls/>
        <c:axId val="93356032"/>
        <c:axId val="93357952"/>
      </c:scatterChart>
      <c:valAx>
        <c:axId val="933560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en-US" sz="1050"/>
                  <a:t>Weight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93357952"/>
        <c:crosses val="autoZero"/>
        <c:crossBetween val="midCat"/>
      </c:valAx>
      <c:valAx>
        <c:axId val="9335795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Scarcity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93356032"/>
        <c:crosses val="autoZero"/>
        <c:crossBetween val="midCat"/>
      </c:valAx>
      <c:spPr>
        <a:ln w="19050">
          <a:solidFill>
            <a:schemeClr val="tx1"/>
          </a:solidFill>
        </a:ln>
      </c:spPr>
    </c:plotArea>
    <c:plotVisOnly val="1"/>
    <c:dispBlanksAs val="gap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4983257816258647"/>
          <c:y val="4.107057718702592E-2"/>
          <c:w val="0.80063913221434868"/>
          <c:h val="0.63028486118134319"/>
        </c:manualLayout>
      </c:layout>
      <c:scatterChart>
        <c:scatterStyle val="lineMarker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'Round 3'!$E$2:$E$17</c:f>
              <c:numCache>
                <c:formatCode>0.00</c:formatCode>
                <c:ptCount val="16"/>
                <c:pt idx="0">
                  <c:v>1.2658227848101264</c:v>
                </c:pt>
                <c:pt idx="1">
                  <c:v>1.6949152542372883</c:v>
                </c:pt>
                <c:pt idx="2">
                  <c:v>1.3157894736842106</c:v>
                </c:pt>
                <c:pt idx="3">
                  <c:v>1.3333333333333333</c:v>
                </c:pt>
                <c:pt idx="4">
                  <c:v>1.0101010101010102</c:v>
                </c:pt>
                <c:pt idx="5">
                  <c:v>0.60240963855421692</c:v>
                </c:pt>
                <c:pt idx="6">
                  <c:v>1.1235955056179776</c:v>
                </c:pt>
                <c:pt idx="7">
                  <c:v>1.4234875444839858</c:v>
                </c:pt>
                <c:pt idx="8">
                  <c:v>0.48076923076923073</c:v>
                </c:pt>
                <c:pt idx="9">
                  <c:v>0.625</c:v>
                </c:pt>
                <c:pt idx="10">
                  <c:v>0.49019607843137253</c:v>
                </c:pt>
                <c:pt idx="11">
                  <c:v>1.4184397163120568</c:v>
                </c:pt>
                <c:pt idx="12">
                  <c:v>1.5151515151515151</c:v>
                </c:pt>
                <c:pt idx="13">
                  <c:v>0.92592592592592582</c:v>
                </c:pt>
                <c:pt idx="14">
                  <c:v>0.83333333333333337</c:v>
                </c:pt>
                <c:pt idx="15">
                  <c:v>0.36630036630036628</c:v>
                </c:pt>
              </c:numCache>
            </c:numRef>
          </c:xVal>
          <c:yVal>
            <c:numRef>
              <c:f>'Round 3'!$O$2:$O$17</c:f>
              <c:numCache>
                <c:formatCode>General</c:formatCode>
                <c:ptCount val="16"/>
                <c:pt idx="0">
                  <c:v>5.8</c:v>
                </c:pt>
                <c:pt idx="1">
                  <c:v>1.3129999999999999</c:v>
                </c:pt>
                <c:pt idx="2">
                  <c:v>2.25</c:v>
                </c:pt>
                <c:pt idx="3">
                  <c:v>5.2249999999999996</c:v>
                </c:pt>
                <c:pt idx="4">
                  <c:v>2.6989999999999998</c:v>
                </c:pt>
                <c:pt idx="5">
                  <c:v>525</c:v>
                </c:pt>
                <c:pt idx="6">
                  <c:v>940</c:v>
                </c:pt>
                <c:pt idx="7">
                  <c:v>660</c:v>
                </c:pt>
                <c:pt idx="8">
                  <c:v>4.1900000000000004</c:v>
                </c:pt>
                <c:pt idx="9">
                  <c:v>590</c:v>
                </c:pt>
                <c:pt idx="10">
                  <c:v>9.625</c:v>
                </c:pt>
                <c:pt idx="11">
                  <c:v>5.67</c:v>
                </c:pt>
                <c:pt idx="12">
                  <c:v>240</c:v>
                </c:pt>
                <c:pt idx="13">
                  <c:v>53000</c:v>
                </c:pt>
                <c:pt idx="14">
                  <c:v>17.399999999999999</c:v>
                </c:pt>
                <c:pt idx="15">
                  <c:v>1.514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1319-4602-BC42-86EC664CCAA3}"/>
            </c:ext>
          </c:extLst>
        </c:ser>
        <c:ser>
          <c:idx val="1"/>
          <c:order val="1"/>
          <c:spPr>
            <a:ln w="19050">
              <a:noFill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'Round 3'!$Q$1:$U$1</c:f>
              <c:numCache>
                <c:formatCode>General</c:formatCode>
                <c:ptCount val="5"/>
                <c:pt idx="0" formatCode="0.00">
                  <c:v>0</c:v>
                </c:pt>
              </c:numCache>
            </c:numRef>
          </c:xVal>
          <c:yVal>
            <c:numRef>
              <c:f>'Round 3'!$Q$5:$U$5</c:f>
              <c:numCache>
                <c:formatCode>General</c:formatCode>
                <c:ptCount val="5"/>
                <c:pt idx="0" formatCode="0.0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1319-4602-BC42-86EC664CCAA3}"/>
            </c:ext>
          </c:extLst>
        </c:ser>
        <c:dLbls/>
        <c:axId val="93384064"/>
        <c:axId val="92550656"/>
      </c:scatterChart>
      <c:valAx>
        <c:axId val="933840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en-US" sz="1050"/>
                  <a:t>Power Loss</a:t>
                </a:r>
              </a:p>
            </c:rich>
          </c:tx>
          <c:layout/>
        </c:title>
        <c:numFmt formatCode="0.00" sourceLinked="1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92550656"/>
        <c:crosses val="autoZero"/>
        <c:crossBetween val="midCat"/>
      </c:valAx>
      <c:valAx>
        <c:axId val="92550656"/>
        <c:scaling>
          <c:logBase val="10"/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Cost</a:t>
                </a:r>
              </a:p>
            </c:rich>
          </c:tx>
          <c:layout>
            <c:manualLayout>
              <c:xMode val="edge"/>
              <c:yMode val="edge"/>
              <c:x val="0"/>
              <c:y val="0.22893447952033527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93384064"/>
        <c:crosses val="autoZero"/>
        <c:crossBetween val="midCat"/>
      </c:valAx>
      <c:spPr>
        <a:ln w="19050">
          <a:solidFill>
            <a:schemeClr val="tx1"/>
          </a:solidFill>
        </a:ln>
      </c:spPr>
    </c:plotArea>
    <c:plotVisOnly val="1"/>
    <c:dispBlanksAs val="gap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'Sheet 3'!$AJ$2:$AJ$17</c:f>
              <c:numCache>
                <c:formatCode>General</c:formatCode>
                <c:ptCount val="16"/>
                <c:pt idx="0">
                  <c:v>1.74</c:v>
                </c:pt>
                <c:pt idx="1">
                  <c:v>1.42</c:v>
                </c:pt>
                <c:pt idx="2">
                  <c:v>1.52</c:v>
                </c:pt>
                <c:pt idx="3">
                  <c:v>2.2000000000000002</c:v>
                </c:pt>
                <c:pt idx="4">
                  <c:v>2.29</c:v>
                </c:pt>
                <c:pt idx="5">
                  <c:v>2.4900000000000002</c:v>
                </c:pt>
                <c:pt idx="6">
                  <c:v>2.5099999999999998</c:v>
                </c:pt>
                <c:pt idx="7">
                  <c:v>2.6019999999999999</c:v>
                </c:pt>
                <c:pt idx="8">
                  <c:v>3.29</c:v>
                </c:pt>
                <c:pt idx="9">
                  <c:v>2.81</c:v>
                </c:pt>
                <c:pt idx="10">
                  <c:v>2.82</c:v>
                </c:pt>
                <c:pt idx="11">
                  <c:v>2.87</c:v>
                </c:pt>
                <c:pt idx="12">
                  <c:v>2.87</c:v>
                </c:pt>
                <c:pt idx="13">
                  <c:v>2.14</c:v>
                </c:pt>
                <c:pt idx="14">
                  <c:v>3.39</c:v>
                </c:pt>
                <c:pt idx="15">
                  <c:v>3.54</c:v>
                </c:pt>
              </c:numCache>
            </c:numRef>
          </c:xVal>
          <c:yVal>
            <c:numRef>
              <c:f>'Sheet 3'!$AK$2:$AK$17</c:f>
              <c:numCache>
                <c:formatCode>General</c:formatCode>
                <c:ptCount val="16"/>
                <c:pt idx="0">
                  <c:v>1.86</c:v>
                </c:pt>
                <c:pt idx="1">
                  <c:v>1.88</c:v>
                </c:pt>
                <c:pt idx="2">
                  <c:v>1.7</c:v>
                </c:pt>
                <c:pt idx="3">
                  <c:v>1.98</c:v>
                </c:pt>
                <c:pt idx="4">
                  <c:v>1.67</c:v>
                </c:pt>
                <c:pt idx="5">
                  <c:v>1.64</c:v>
                </c:pt>
                <c:pt idx="6">
                  <c:v>2</c:v>
                </c:pt>
                <c:pt idx="7">
                  <c:v>1.1000000000000001</c:v>
                </c:pt>
                <c:pt idx="8">
                  <c:v>2.14</c:v>
                </c:pt>
                <c:pt idx="9">
                  <c:v>1.63</c:v>
                </c:pt>
                <c:pt idx="10">
                  <c:v>2.14</c:v>
                </c:pt>
                <c:pt idx="11">
                  <c:v>1.35</c:v>
                </c:pt>
                <c:pt idx="12">
                  <c:v>1.41</c:v>
                </c:pt>
                <c:pt idx="13">
                  <c:v>2.2200000000000002</c:v>
                </c:pt>
                <c:pt idx="14">
                  <c:v>1.08</c:v>
                </c:pt>
                <c:pt idx="15">
                  <c:v>1.48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4E8E-4652-874C-927498C2FAEB}"/>
            </c:ext>
          </c:extLst>
        </c:ser>
        <c:ser>
          <c:idx val="1"/>
          <c:order val="1"/>
          <c:spPr>
            <a:ln w="19050">
              <a:noFill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'Sheet 3'!$N$2:$R$2</c:f>
              <c:numCache>
                <c:formatCode>General</c:formatCode>
                <c:ptCount val="5"/>
                <c:pt idx="0">
                  <c:v>1.0193540760275253</c:v>
                </c:pt>
              </c:numCache>
            </c:numRef>
          </c:xVal>
          <c:yVal>
            <c:numRef>
              <c:f>'Sheet 3'!$N$3:$R$3</c:f>
              <c:numCache>
                <c:formatCode>General</c:formatCode>
                <c:ptCount val="5"/>
                <c:pt idx="0">
                  <c:v>1.48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4E8E-4652-874C-927498C2FAEB}"/>
            </c:ext>
          </c:extLst>
        </c:ser>
        <c:dLbls/>
        <c:axId val="93584384"/>
        <c:axId val="93398528"/>
      </c:scatterChart>
      <c:valAx>
        <c:axId val="935843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en-US" sz="1050"/>
                  <a:t>Toxicity</a:t>
                </a:r>
              </a:p>
            </c:rich>
          </c:tx>
        </c:title>
        <c:numFmt formatCode="General" sourceLinked="1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93398528"/>
        <c:crosses val="autoZero"/>
        <c:crossBetween val="midCat"/>
      </c:valAx>
      <c:valAx>
        <c:axId val="9339852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Availabiity</a:t>
                </a:r>
              </a:p>
            </c:rich>
          </c:tx>
        </c:title>
        <c:numFmt formatCode="General" sourceLinked="1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93584384"/>
        <c:crosses val="autoZero"/>
        <c:crossBetween val="midCat"/>
      </c:valAx>
      <c:spPr>
        <a:ln w="19050">
          <a:solidFill>
            <a:schemeClr val="tx1"/>
          </a:solidFill>
        </a:ln>
      </c:spPr>
    </c:plotArea>
    <c:plotVisOnly val="1"/>
    <c:dispBlanksAs val="gap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'Sheet 3'!$AI$2:$AI$17</c:f>
              <c:numCache>
                <c:formatCode>General</c:formatCode>
                <c:ptCount val="16"/>
                <c:pt idx="0">
                  <c:v>0.79</c:v>
                </c:pt>
                <c:pt idx="1">
                  <c:v>0.59</c:v>
                </c:pt>
                <c:pt idx="2">
                  <c:v>0.76</c:v>
                </c:pt>
                <c:pt idx="3">
                  <c:v>1.94</c:v>
                </c:pt>
                <c:pt idx="4">
                  <c:v>0.99</c:v>
                </c:pt>
                <c:pt idx="5">
                  <c:v>1.66</c:v>
                </c:pt>
                <c:pt idx="6">
                  <c:v>0.89</c:v>
                </c:pt>
                <c:pt idx="7">
                  <c:v>0.70250000000000001</c:v>
                </c:pt>
                <c:pt idx="8">
                  <c:v>2.08</c:v>
                </c:pt>
                <c:pt idx="9">
                  <c:v>1.6</c:v>
                </c:pt>
                <c:pt idx="10">
                  <c:v>2.04</c:v>
                </c:pt>
                <c:pt idx="11">
                  <c:v>0.70499999999999996</c:v>
                </c:pt>
                <c:pt idx="12">
                  <c:v>0.66</c:v>
                </c:pt>
                <c:pt idx="13">
                  <c:v>1.08</c:v>
                </c:pt>
                <c:pt idx="14">
                  <c:v>1.2</c:v>
                </c:pt>
                <c:pt idx="15">
                  <c:v>2.73</c:v>
                </c:pt>
              </c:numCache>
            </c:numRef>
          </c:xVal>
          <c:yVal>
            <c:numRef>
              <c:f>'Sheet 3'!$AJ$2:$AJ$17</c:f>
              <c:numCache>
                <c:formatCode>General</c:formatCode>
                <c:ptCount val="16"/>
                <c:pt idx="0">
                  <c:v>1.74</c:v>
                </c:pt>
                <c:pt idx="1">
                  <c:v>1.42</c:v>
                </c:pt>
                <c:pt idx="2">
                  <c:v>1.52</c:v>
                </c:pt>
                <c:pt idx="3">
                  <c:v>2.2000000000000002</c:v>
                </c:pt>
                <c:pt idx="4">
                  <c:v>2.29</c:v>
                </c:pt>
                <c:pt idx="5">
                  <c:v>2.4900000000000002</c:v>
                </c:pt>
                <c:pt idx="6">
                  <c:v>2.5099999999999998</c:v>
                </c:pt>
                <c:pt idx="7">
                  <c:v>2.6019999999999999</c:v>
                </c:pt>
                <c:pt idx="8">
                  <c:v>3.29</c:v>
                </c:pt>
                <c:pt idx="9">
                  <c:v>2.81</c:v>
                </c:pt>
                <c:pt idx="10">
                  <c:v>2.82</c:v>
                </c:pt>
                <c:pt idx="11">
                  <c:v>2.87</c:v>
                </c:pt>
                <c:pt idx="12">
                  <c:v>2.87</c:v>
                </c:pt>
                <c:pt idx="13">
                  <c:v>2.14</c:v>
                </c:pt>
                <c:pt idx="14">
                  <c:v>3.39</c:v>
                </c:pt>
                <c:pt idx="15">
                  <c:v>3.54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DD4C-4FCE-90B1-231999A68E8E}"/>
            </c:ext>
          </c:extLst>
        </c:ser>
        <c:ser>
          <c:idx val="1"/>
          <c:order val="1"/>
          <c:spPr>
            <a:ln w="19050">
              <a:noFill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'Sheet 3'!$N$1:$R$1</c:f>
              <c:numCache>
                <c:formatCode>General</c:formatCode>
                <c:ptCount val="5"/>
                <c:pt idx="0">
                  <c:v>1.3564609551509401</c:v>
                </c:pt>
              </c:numCache>
            </c:numRef>
          </c:xVal>
          <c:yVal>
            <c:numRef>
              <c:f>'Sheet 3'!$N$2:$R$2</c:f>
              <c:numCache>
                <c:formatCode>General</c:formatCode>
                <c:ptCount val="5"/>
                <c:pt idx="0">
                  <c:v>1.0193540760275253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DD4C-4FCE-90B1-231999A68E8E}"/>
            </c:ext>
          </c:extLst>
        </c:ser>
        <c:dLbls/>
        <c:axId val="93449216"/>
        <c:axId val="93594752"/>
      </c:scatterChart>
      <c:valAx>
        <c:axId val="934492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en-US" sz="1050"/>
                  <a:t>Efficiency</a:t>
                </a:r>
              </a:p>
            </c:rich>
          </c:tx>
        </c:title>
        <c:numFmt formatCode="General" sourceLinked="1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93594752"/>
        <c:crosses val="autoZero"/>
        <c:crossBetween val="midCat"/>
      </c:valAx>
      <c:valAx>
        <c:axId val="9359475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Toxicity</a:t>
                </a:r>
              </a:p>
            </c:rich>
          </c:tx>
        </c:title>
        <c:numFmt formatCode="General" sourceLinked="1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93449216"/>
        <c:crosses val="autoZero"/>
        <c:crossBetween val="midCat"/>
      </c:valAx>
      <c:spPr>
        <a:ln w="19050">
          <a:solidFill>
            <a:schemeClr val="tx1"/>
          </a:solidFill>
        </a:ln>
      </c:spPr>
    </c:plotArea>
    <c:plotVisOnly val="1"/>
    <c:dispBlanksAs val="gap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'Sheet 3'!$AI$2:$AI$17</c:f>
              <c:numCache>
                <c:formatCode>General</c:formatCode>
                <c:ptCount val="16"/>
                <c:pt idx="0">
                  <c:v>0.79</c:v>
                </c:pt>
                <c:pt idx="1">
                  <c:v>0.59</c:v>
                </c:pt>
                <c:pt idx="2">
                  <c:v>0.76</c:v>
                </c:pt>
                <c:pt idx="3">
                  <c:v>1.94</c:v>
                </c:pt>
                <c:pt idx="4">
                  <c:v>0.99</c:v>
                </c:pt>
                <c:pt idx="5">
                  <c:v>1.66</c:v>
                </c:pt>
                <c:pt idx="6">
                  <c:v>0.89</c:v>
                </c:pt>
                <c:pt idx="7">
                  <c:v>0.70250000000000001</c:v>
                </c:pt>
                <c:pt idx="8">
                  <c:v>2.08</c:v>
                </c:pt>
                <c:pt idx="9">
                  <c:v>1.6</c:v>
                </c:pt>
                <c:pt idx="10">
                  <c:v>2.04</c:v>
                </c:pt>
                <c:pt idx="11">
                  <c:v>0.70499999999999996</c:v>
                </c:pt>
                <c:pt idx="12">
                  <c:v>0.66</c:v>
                </c:pt>
                <c:pt idx="13">
                  <c:v>1.08</c:v>
                </c:pt>
                <c:pt idx="14">
                  <c:v>1.2</c:v>
                </c:pt>
                <c:pt idx="15">
                  <c:v>2.73</c:v>
                </c:pt>
              </c:numCache>
            </c:numRef>
          </c:xVal>
          <c:yVal>
            <c:numRef>
              <c:f>'Sheet 3'!$AH$2:$AH$17</c:f>
              <c:numCache>
                <c:formatCode>General</c:formatCode>
                <c:ptCount val="16"/>
                <c:pt idx="0">
                  <c:v>0.13400000000000001</c:v>
                </c:pt>
                <c:pt idx="1">
                  <c:v>0.159</c:v>
                </c:pt>
                <c:pt idx="2">
                  <c:v>0.25800000000000001</c:v>
                </c:pt>
                <c:pt idx="3">
                  <c:v>0.28999999999999998</c:v>
                </c:pt>
                <c:pt idx="4">
                  <c:v>0.34100000000000003</c:v>
                </c:pt>
                <c:pt idx="5">
                  <c:v>0.35099999999999998</c:v>
                </c:pt>
                <c:pt idx="6">
                  <c:v>0.41</c:v>
                </c:pt>
                <c:pt idx="7">
                  <c:v>0.438</c:v>
                </c:pt>
                <c:pt idx="8">
                  <c:v>0.51200000000000001</c:v>
                </c:pt>
                <c:pt idx="9">
                  <c:v>0.57999999999999996</c:v>
                </c:pt>
                <c:pt idx="10">
                  <c:v>0.61299999999999999</c:v>
                </c:pt>
                <c:pt idx="11">
                  <c:v>0.71499999999999997</c:v>
                </c:pt>
                <c:pt idx="12">
                  <c:v>0.84299999999999997</c:v>
                </c:pt>
                <c:pt idx="13">
                  <c:v>0.91300000000000003</c:v>
                </c:pt>
                <c:pt idx="14">
                  <c:v>0.94599999999999995</c:v>
                </c:pt>
                <c:pt idx="15">
                  <c:v>0.99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DB51-46A7-A95A-6DDB41E0952C}"/>
            </c:ext>
          </c:extLst>
        </c:ser>
        <c:ser>
          <c:idx val="1"/>
          <c:order val="1"/>
          <c:spPr>
            <a:ln w="19050">
              <a:noFill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'Sheet 3'!$N$1:$R$1</c:f>
              <c:numCache>
                <c:formatCode>General</c:formatCode>
                <c:ptCount val="5"/>
                <c:pt idx="0">
                  <c:v>1.3564609551509401</c:v>
                </c:pt>
              </c:numCache>
            </c:numRef>
          </c:xVal>
          <c:yVal>
            <c:numRef>
              <c:f>'Sheet 3'!$N$4:$R$4</c:f>
              <c:numCache>
                <c:formatCode>General</c:formatCode>
                <c:ptCount val="5"/>
                <c:pt idx="0">
                  <c:v>0.47606313748376344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DB51-46A7-A95A-6DDB41E0952C}"/>
            </c:ext>
          </c:extLst>
        </c:ser>
        <c:dLbls/>
        <c:axId val="93612672"/>
        <c:axId val="93639424"/>
      </c:scatterChart>
      <c:valAx>
        <c:axId val="936126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en-US" sz="1050"/>
                  <a:t>Efficiency</a:t>
                </a:r>
              </a:p>
            </c:rich>
          </c:tx>
        </c:title>
        <c:numFmt formatCode="General" sourceLinked="1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93639424"/>
        <c:crosses val="autoZero"/>
        <c:crossBetween val="midCat"/>
      </c:valAx>
      <c:valAx>
        <c:axId val="93639424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Density</a:t>
                </a:r>
              </a:p>
            </c:rich>
          </c:tx>
        </c:title>
        <c:numFmt formatCode="General" sourceLinked="1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93612672"/>
        <c:crosses val="autoZero"/>
        <c:crossBetween val="midCat"/>
      </c:valAx>
      <c:spPr>
        <a:ln w="19050">
          <a:solidFill>
            <a:schemeClr val="tx1"/>
          </a:solidFill>
        </a:ln>
      </c:spPr>
    </c:plotArea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2"/>
            <c:marker>
              <c:symbol val="square"/>
              <c:size val="7"/>
              <c:spPr>
                <a:solidFill>
                  <a:srgbClr val="FF0000"/>
                </a:solidFill>
                <a:ln>
                  <a:solidFill>
                    <a:sysClr val="windowText" lastClr="000000"/>
                  </a:solidFill>
                </a:ln>
              </c:spPr>
            </c:marker>
            <c:extLst xmlns:c16r2="http://schemas.microsoft.com/office/drawing/2015/06/chart">
              <c:ext xmlns:c16="http://schemas.microsoft.com/office/drawing/2014/chart" uri="{C3380CC4-5D6E-409C-BE32-E72D297353CC}">
                <c16:uniqueId val="{00000000-B907-4533-B452-B0BE1BF56DCB}"/>
              </c:ext>
            </c:extLst>
          </c:dPt>
          <c:xVal>
            <c:numRef>
              <c:f>'Sheet 3'!$AI$2:$AI$17</c:f>
              <c:numCache>
                <c:formatCode>General</c:formatCode>
                <c:ptCount val="16"/>
                <c:pt idx="0">
                  <c:v>0.79</c:v>
                </c:pt>
                <c:pt idx="1">
                  <c:v>0.59</c:v>
                </c:pt>
                <c:pt idx="2">
                  <c:v>0.76</c:v>
                </c:pt>
                <c:pt idx="3">
                  <c:v>1.94</c:v>
                </c:pt>
                <c:pt idx="4">
                  <c:v>0.99</c:v>
                </c:pt>
                <c:pt idx="5">
                  <c:v>1.66</c:v>
                </c:pt>
                <c:pt idx="6">
                  <c:v>0.89</c:v>
                </c:pt>
                <c:pt idx="7">
                  <c:v>0.70250000000000001</c:v>
                </c:pt>
                <c:pt idx="8">
                  <c:v>2.08</c:v>
                </c:pt>
                <c:pt idx="9">
                  <c:v>1.6</c:v>
                </c:pt>
                <c:pt idx="10">
                  <c:v>2.04</c:v>
                </c:pt>
                <c:pt idx="11">
                  <c:v>0.70499999999999996</c:v>
                </c:pt>
                <c:pt idx="12">
                  <c:v>0.66</c:v>
                </c:pt>
                <c:pt idx="13">
                  <c:v>1.08</c:v>
                </c:pt>
                <c:pt idx="14">
                  <c:v>1.2</c:v>
                </c:pt>
                <c:pt idx="15">
                  <c:v>2.73</c:v>
                </c:pt>
              </c:numCache>
            </c:numRef>
          </c:xVal>
          <c:yVal>
            <c:numRef>
              <c:f>'Sheet 3'!$BB$2:$BB$17</c:f>
              <c:numCache>
                <c:formatCode>General</c:formatCode>
                <c:ptCount val="16"/>
                <c:pt idx="0">
                  <c:v>5.8</c:v>
                </c:pt>
                <c:pt idx="1">
                  <c:v>1.3129999999999999</c:v>
                </c:pt>
                <c:pt idx="2">
                  <c:v>2.25</c:v>
                </c:pt>
                <c:pt idx="3">
                  <c:v>5.2249999999999996</c:v>
                </c:pt>
                <c:pt idx="4">
                  <c:v>2.6989999999999998</c:v>
                </c:pt>
                <c:pt idx="5">
                  <c:v>525</c:v>
                </c:pt>
                <c:pt idx="6">
                  <c:v>940</c:v>
                </c:pt>
                <c:pt idx="7">
                  <c:v>660</c:v>
                </c:pt>
                <c:pt idx="8">
                  <c:v>4.1900000000000004</c:v>
                </c:pt>
                <c:pt idx="9">
                  <c:v>590</c:v>
                </c:pt>
                <c:pt idx="10">
                  <c:v>9.625</c:v>
                </c:pt>
                <c:pt idx="11">
                  <c:v>5.67</c:v>
                </c:pt>
                <c:pt idx="12">
                  <c:v>240</c:v>
                </c:pt>
                <c:pt idx="13">
                  <c:v>53000</c:v>
                </c:pt>
                <c:pt idx="14">
                  <c:v>17.399999999999999</c:v>
                </c:pt>
                <c:pt idx="15">
                  <c:v>1.514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B907-4533-B452-B0BE1BF56DCB}"/>
            </c:ext>
          </c:extLst>
        </c:ser>
        <c:ser>
          <c:idx val="1"/>
          <c:order val="1"/>
          <c:spPr>
            <a:ln w="19050">
              <a:noFill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'Sheet 3'!$N$1:$R$1</c:f>
              <c:numCache>
                <c:formatCode>General</c:formatCode>
                <c:ptCount val="5"/>
                <c:pt idx="0">
                  <c:v>1.3564609551509401</c:v>
                </c:pt>
              </c:numCache>
            </c:numRef>
          </c:xVal>
          <c:yVal>
            <c:numRef>
              <c:f>'Sheet 3'!$N$5:$R$5</c:f>
              <c:numCache>
                <c:formatCode>General</c:formatCode>
                <c:ptCount val="5"/>
                <c:pt idx="0">
                  <c:v>332.9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B907-4533-B452-B0BE1BF56DCB}"/>
            </c:ext>
          </c:extLst>
        </c:ser>
        <c:dLbls/>
        <c:axId val="93793280"/>
        <c:axId val="93807744"/>
      </c:scatterChart>
      <c:valAx>
        <c:axId val="937932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en-US" sz="1050"/>
                  <a:t>Efficiency</a:t>
                </a:r>
              </a:p>
            </c:rich>
          </c:tx>
        </c:title>
        <c:numFmt formatCode="General" sourceLinked="1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93807744"/>
        <c:crosses val="autoZero"/>
        <c:crossBetween val="midCat"/>
      </c:valAx>
      <c:valAx>
        <c:axId val="93807744"/>
        <c:scaling>
          <c:logBase val="10"/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Cost</a:t>
                </a:r>
              </a:p>
            </c:rich>
          </c:tx>
        </c:title>
        <c:numFmt formatCode="General" sourceLinked="1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93793280"/>
        <c:crosses val="autoZero"/>
        <c:crossBetween val="midCat"/>
      </c:valAx>
      <c:spPr>
        <a:ln w="19050">
          <a:solidFill>
            <a:schemeClr val="tx1"/>
          </a:solidFill>
        </a:ln>
      </c:spPr>
    </c:plotArea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'Round 1'!$E$2:$E$17</c:f>
              <c:numCache>
                <c:formatCode>0.00</c:formatCode>
                <c:ptCount val="16"/>
                <c:pt idx="0">
                  <c:v>1.2658227848101264</c:v>
                </c:pt>
                <c:pt idx="1">
                  <c:v>1.6949152542372883</c:v>
                </c:pt>
                <c:pt idx="2">
                  <c:v>1.3157894736842106</c:v>
                </c:pt>
                <c:pt idx="3">
                  <c:v>1.3333333333333333</c:v>
                </c:pt>
                <c:pt idx="4">
                  <c:v>1.0101010101010102</c:v>
                </c:pt>
                <c:pt idx="5">
                  <c:v>0.60240963855421692</c:v>
                </c:pt>
                <c:pt idx="6">
                  <c:v>1.1235955056179776</c:v>
                </c:pt>
                <c:pt idx="7">
                  <c:v>1.4234875444839858</c:v>
                </c:pt>
                <c:pt idx="8">
                  <c:v>0.48076923076923073</c:v>
                </c:pt>
                <c:pt idx="9">
                  <c:v>0.625</c:v>
                </c:pt>
                <c:pt idx="10">
                  <c:v>0.49019607843137253</c:v>
                </c:pt>
                <c:pt idx="11">
                  <c:v>1.4184397163120568</c:v>
                </c:pt>
                <c:pt idx="12">
                  <c:v>1.5151515151515151</c:v>
                </c:pt>
                <c:pt idx="13">
                  <c:v>0.92592592592592582</c:v>
                </c:pt>
                <c:pt idx="14">
                  <c:v>0.83333333333333337</c:v>
                </c:pt>
                <c:pt idx="15">
                  <c:v>0.36630036630036628</c:v>
                </c:pt>
              </c:numCache>
            </c:numRef>
          </c:xVal>
          <c:yVal>
            <c:numRef>
              <c:f>'Round 1'!$F$2:$F$17</c:f>
              <c:numCache>
                <c:formatCode>General</c:formatCode>
                <c:ptCount val="16"/>
                <c:pt idx="0">
                  <c:v>1.74</c:v>
                </c:pt>
                <c:pt idx="1">
                  <c:v>1.42</c:v>
                </c:pt>
                <c:pt idx="2">
                  <c:v>1.52</c:v>
                </c:pt>
                <c:pt idx="3">
                  <c:v>2.2000000000000002</c:v>
                </c:pt>
                <c:pt idx="4">
                  <c:v>2.29</c:v>
                </c:pt>
                <c:pt idx="5">
                  <c:v>2.4900000000000002</c:v>
                </c:pt>
                <c:pt idx="6">
                  <c:v>2.5099999999999998</c:v>
                </c:pt>
                <c:pt idx="7">
                  <c:v>2.6019999999999999</c:v>
                </c:pt>
                <c:pt idx="8">
                  <c:v>3.29</c:v>
                </c:pt>
                <c:pt idx="9">
                  <c:v>2.81</c:v>
                </c:pt>
                <c:pt idx="10">
                  <c:v>2.82</c:v>
                </c:pt>
                <c:pt idx="11">
                  <c:v>2.87</c:v>
                </c:pt>
                <c:pt idx="12">
                  <c:v>2.87</c:v>
                </c:pt>
                <c:pt idx="13">
                  <c:v>2.14</c:v>
                </c:pt>
                <c:pt idx="14">
                  <c:v>3.39</c:v>
                </c:pt>
                <c:pt idx="15">
                  <c:v>3.54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2880-4602-AC05-444841955A42}"/>
            </c:ext>
          </c:extLst>
        </c:ser>
        <c:ser>
          <c:idx val="1"/>
          <c:order val="1"/>
          <c:spPr>
            <a:ln w="19050">
              <a:noFill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'Round 1'!$N$1:$R$1</c:f>
              <c:numCache>
                <c:formatCode>General</c:formatCode>
                <c:ptCount val="5"/>
                <c:pt idx="0" formatCode="0.00">
                  <c:v>0</c:v>
                </c:pt>
              </c:numCache>
            </c:numRef>
          </c:xVal>
          <c:yVal>
            <c:numRef>
              <c:f>'Round 1'!$N$2:$R$2</c:f>
              <c:numCache>
                <c:formatCode>General</c:formatCode>
                <c:ptCount val="5"/>
                <c:pt idx="0" formatCode="0.0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2880-4602-AC05-444841955A42}"/>
            </c:ext>
          </c:extLst>
        </c:ser>
        <c:dLbls/>
        <c:axId val="62293888"/>
        <c:axId val="62312448"/>
      </c:scatterChart>
      <c:valAx>
        <c:axId val="62293888"/>
        <c:scaling>
          <c:orientation val="minMax"/>
          <c:min val="0"/>
        </c:scaling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en-US" sz="1050"/>
                  <a:t>Power Loss</a:t>
                </a:r>
              </a:p>
            </c:rich>
          </c:tx>
          <c:layout/>
        </c:title>
        <c:numFmt formatCode="0.00" sourceLinked="1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62312448"/>
        <c:crosses val="autoZero"/>
        <c:crossBetween val="midCat"/>
      </c:valAx>
      <c:valAx>
        <c:axId val="6231244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Toxicity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62293888"/>
        <c:crosses val="autoZero"/>
        <c:crossBetween val="midCat"/>
      </c:valAx>
      <c:spPr>
        <a:ln w="19050">
          <a:solidFill>
            <a:schemeClr val="tx1"/>
          </a:solidFill>
        </a:ln>
      </c:spPr>
    </c:plotArea>
    <c:plotVisOnly val="1"/>
    <c:dispBlanksAs val="gap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'Round 1'!$E$2:$E$17</c:f>
              <c:numCache>
                <c:formatCode>0.00</c:formatCode>
                <c:ptCount val="16"/>
                <c:pt idx="0">
                  <c:v>1.2658227848101264</c:v>
                </c:pt>
                <c:pt idx="1">
                  <c:v>1.6949152542372883</c:v>
                </c:pt>
                <c:pt idx="2">
                  <c:v>1.3157894736842106</c:v>
                </c:pt>
                <c:pt idx="3">
                  <c:v>1.3333333333333333</c:v>
                </c:pt>
                <c:pt idx="4">
                  <c:v>1.0101010101010102</c:v>
                </c:pt>
                <c:pt idx="5">
                  <c:v>0.60240963855421692</c:v>
                </c:pt>
                <c:pt idx="6">
                  <c:v>1.1235955056179776</c:v>
                </c:pt>
                <c:pt idx="7">
                  <c:v>1.4234875444839858</c:v>
                </c:pt>
                <c:pt idx="8">
                  <c:v>0.48076923076923073</c:v>
                </c:pt>
                <c:pt idx="9">
                  <c:v>0.625</c:v>
                </c:pt>
                <c:pt idx="10">
                  <c:v>0.49019607843137253</c:v>
                </c:pt>
                <c:pt idx="11">
                  <c:v>1.4184397163120568</c:v>
                </c:pt>
                <c:pt idx="12">
                  <c:v>1.5151515151515151</c:v>
                </c:pt>
                <c:pt idx="13">
                  <c:v>0.92592592592592582</c:v>
                </c:pt>
                <c:pt idx="14">
                  <c:v>0.83333333333333337</c:v>
                </c:pt>
                <c:pt idx="15">
                  <c:v>0.36630036630036628</c:v>
                </c:pt>
              </c:numCache>
            </c:numRef>
          </c:xVal>
          <c:yVal>
            <c:numRef>
              <c:f>'Round 1'!$G$2:$G$17</c:f>
              <c:numCache>
                <c:formatCode>0.00</c:formatCode>
                <c:ptCount val="16"/>
                <c:pt idx="0">
                  <c:v>0.5376344086021505</c:v>
                </c:pt>
                <c:pt idx="1">
                  <c:v>0.53191489361702127</c:v>
                </c:pt>
                <c:pt idx="2">
                  <c:v>0.58823529411764708</c:v>
                </c:pt>
                <c:pt idx="3">
                  <c:v>0.50505050505050508</c:v>
                </c:pt>
                <c:pt idx="4">
                  <c:v>0.5988023952095809</c:v>
                </c:pt>
                <c:pt idx="5">
                  <c:v>0.6097560975609756</c:v>
                </c:pt>
                <c:pt idx="6">
                  <c:v>0.5</c:v>
                </c:pt>
                <c:pt idx="7">
                  <c:v>0.90909090909090906</c:v>
                </c:pt>
                <c:pt idx="8">
                  <c:v>0.46728971962616822</c:v>
                </c:pt>
                <c:pt idx="9">
                  <c:v>0.61349693251533743</c:v>
                </c:pt>
                <c:pt idx="10">
                  <c:v>0.46728971962616822</c:v>
                </c:pt>
                <c:pt idx="11">
                  <c:v>0.7407407407407407</c:v>
                </c:pt>
                <c:pt idx="12">
                  <c:v>0.70921985815602839</c:v>
                </c:pt>
                <c:pt idx="13">
                  <c:v>0.4504504504504504</c:v>
                </c:pt>
                <c:pt idx="14">
                  <c:v>0.92592592592592582</c:v>
                </c:pt>
                <c:pt idx="15">
                  <c:v>0.67567567567567566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2910-4A5D-A024-7A2FF799C4E7}"/>
            </c:ext>
          </c:extLst>
        </c:ser>
        <c:ser>
          <c:idx val="1"/>
          <c:order val="1"/>
          <c:spPr>
            <a:ln w="19050">
              <a:noFill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'Round 1'!$N$1:$R$1</c:f>
              <c:numCache>
                <c:formatCode>General</c:formatCode>
                <c:ptCount val="5"/>
                <c:pt idx="0" formatCode="0.00">
                  <c:v>0</c:v>
                </c:pt>
              </c:numCache>
            </c:numRef>
          </c:xVal>
          <c:yVal>
            <c:numRef>
              <c:f>'Round 1'!$N$3:$R$3</c:f>
              <c:numCache>
                <c:formatCode>General</c:formatCode>
                <c:ptCount val="5"/>
                <c:pt idx="0" formatCode="0.0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2910-4A5D-A024-7A2FF799C4E7}"/>
            </c:ext>
          </c:extLst>
        </c:ser>
        <c:dLbls/>
        <c:axId val="70931968"/>
        <c:axId val="70933888"/>
      </c:scatterChart>
      <c:valAx>
        <c:axId val="70931968"/>
        <c:scaling>
          <c:orientation val="minMax"/>
          <c:min val="0"/>
        </c:scaling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en-US" sz="1050"/>
                  <a:t>Power Loss</a:t>
                </a:r>
              </a:p>
            </c:rich>
          </c:tx>
          <c:layout/>
        </c:title>
        <c:numFmt formatCode="0.00" sourceLinked="1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70933888"/>
        <c:crosses val="autoZero"/>
        <c:crossBetween val="midCat"/>
      </c:valAx>
      <c:valAx>
        <c:axId val="7093388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Scarcity</a:t>
                </a:r>
              </a:p>
            </c:rich>
          </c:tx>
          <c:layout/>
        </c:title>
        <c:numFmt formatCode="0.00" sourceLinked="1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70931968"/>
        <c:crosses val="autoZero"/>
        <c:crossBetween val="midCat"/>
      </c:valAx>
      <c:spPr>
        <a:ln w="19050">
          <a:solidFill>
            <a:schemeClr val="tx1"/>
          </a:solidFill>
        </a:ln>
      </c:spPr>
    </c:plotArea>
    <c:plotVisOnly val="1"/>
    <c:dispBlanksAs val="gap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'Round 2'!$AL$2:$AL$17</c:f>
              <c:numCache>
                <c:formatCode>General</c:formatCode>
                <c:ptCount val="16"/>
                <c:pt idx="0">
                  <c:v>1.74</c:v>
                </c:pt>
                <c:pt idx="1">
                  <c:v>1.42</c:v>
                </c:pt>
                <c:pt idx="2">
                  <c:v>1.52</c:v>
                </c:pt>
                <c:pt idx="3">
                  <c:v>2.2000000000000002</c:v>
                </c:pt>
                <c:pt idx="4">
                  <c:v>2.29</c:v>
                </c:pt>
                <c:pt idx="5">
                  <c:v>2.4900000000000002</c:v>
                </c:pt>
                <c:pt idx="6">
                  <c:v>2.5099999999999998</c:v>
                </c:pt>
                <c:pt idx="7">
                  <c:v>2.6019999999999999</c:v>
                </c:pt>
                <c:pt idx="8">
                  <c:v>3.29</c:v>
                </c:pt>
                <c:pt idx="9">
                  <c:v>2.81</c:v>
                </c:pt>
                <c:pt idx="10">
                  <c:v>2.82</c:v>
                </c:pt>
                <c:pt idx="11">
                  <c:v>2.87</c:v>
                </c:pt>
                <c:pt idx="12">
                  <c:v>2.87</c:v>
                </c:pt>
                <c:pt idx="13">
                  <c:v>2.14</c:v>
                </c:pt>
                <c:pt idx="14">
                  <c:v>3.39</c:v>
                </c:pt>
                <c:pt idx="15">
                  <c:v>3.54</c:v>
                </c:pt>
              </c:numCache>
            </c:numRef>
          </c:xVal>
          <c:yVal>
            <c:numRef>
              <c:f>'Round 2'!$AM$2:$AM$17</c:f>
              <c:numCache>
                <c:formatCode>General</c:formatCode>
                <c:ptCount val="16"/>
                <c:pt idx="0">
                  <c:v>1.86</c:v>
                </c:pt>
                <c:pt idx="1">
                  <c:v>1.88</c:v>
                </c:pt>
                <c:pt idx="2">
                  <c:v>1.7</c:v>
                </c:pt>
                <c:pt idx="3">
                  <c:v>1.98</c:v>
                </c:pt>
                <c:pt idx="4">
                  <c:v>1.67</c:v>
                </c:pt>
                <c:pt idx="5">
                  <c:v>1.64</c:v>
                </c:pt>
                <c:pt idx="6">
                  <c:v>2</c:v>
                </c:pt>
                <c:pt idx="7">
                  <c:v>1.1000000000000001</c:v>
                </c:pt>
                <c:pt idx="8">
                  <c:v>2.14</c:v>
                </c:pt>
                <c:pt idx="9">
                  <c:v>1.63</c:v>
                </c:pt>
                <c:pt idx="10">
                  <c:v>2.14</c:v>
                </c:pt>
                <c:pt idx="11">
                  <c:v>1.35</c:v>
                </c:pt>
                <c:pt idx="12">
                  <c:v>1.41</c:v>
                </c:pt>
                <c:pt idx="13">
                  <c:v>2.2200000000000002</c:v>
                </c:pt>
                <c:pt idx="14">
                  <c:v>1.08</c:v>
                </c:pt>
                <c:pt idx="15">
                  <c:v>1.48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730A-4B88-B8B3-C8B1277D9475}"/>
            </c:ext>
          </c:extLst>
        </c:ser>
        <c:ser>
          <c:idx val="1"/>
          <c:order val="1"/>
          <c:spPr>
            <a:ln w="19050">
              <a:noFill/>
            </a:ln>
          </c:spPr>
          <c:xVal>
            <c:numRef>
              <c:f>'Round 2'!$O$2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'Round 2'!$O$3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730A-4B88-B8B3-C8B1277D9475}"/>
            </c:ext>
          </c:extLst>
        </c:ser>
        <c:dLbls/>
        <c:axId val="90429312"/>
        <c:axId val="90701824"/>
      </c:scatterChart>
      <c:valAx>
        <c:axId val="904293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en-US" sz="1050"/>
                  <a:t>Toxicity</a:t>
                </a:r>
              </a:p>
            </c:rich>
          </c:tx>
        </c:title>
        <c:numFmt formatCode="General" sourceLinked="1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90701824"/>
        <c:crosses val="autoZero"/>
        <c:crossBetween val="midCat"/>
      </c:valAx>
      <c:valAx>
        <c:axId val="90701824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Availabiity</a:t>
                </a:r>
              </a:p>
            </c:rich>
          </c:tx>
        </c:title>
        <c:numFmt formatCode="General" sourceLinked="1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90429312"/>
        <c:crosses val="autoZero"/>
        <c:crossBetween val="midCat"/>
      </c:valAx>
      <c:spPr>
        <a:ln w="19050">
          <a:solidFill>
            <a:schemeClr val="tx1"/>
          </a:solidFill>
        </a:ln>
      </c:spPr>
    </c:plotArea>
    <c:plotVisOnly val="1"/>
    <c:dispBlanksAs val="gap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'Round 2'!$E$2:$E$17</c:f>
              <c:numCache>
                <c:formatCode>0.00</c:formatCode>
                <c:ptCount val="16"/>
                <c:pt idx="0">
                  <c:v>1.2658227848101264</c:v>
                </c:pt>
                <c:pt idx="1">
                  <c:v>1.6949152542372883</c:v>
                </c:pt>
                <c:pt idx="2">
                  <c:v>1.3157894736842106</c:v>
                </c:pt>
                <c:pt idx="3">
                  <c:v>1.3333333333333333</c:v>
                </c:pt>
                <c:pt idx="4">
                  <c:v>1.0101010101010102</c:v>
                </c:pt>
                <c:pt idx="5">
                  <c:v>0.60240963855421692</c:v>
                </c:pt>
                <c:pt idx="6">
                  <c:v>1.1235955056179776</c:v>
                </c:pt>
                <c:pt idx="7">
                  <c:v>1.4234875444839858</c:v>
                </c:pt>
                <c:pt idx="8">
                  <c:v>0.48076923076923073</c:v>
                </c:pt>
                <c:pt idx="9">
                  <c:v>0.625</c:v>
                </c:pt>
                <c:pt idx="10">
                  <c:v>0.49019607843137253</c:v>
                </c:pt>
                <c:pt idx="11">
                  <c:v>1.4184397163120568</c:v>
                </c:pt>
                <c:pt idx="12">
                  <c:v>1.5151515151515151</c:v>
                </c:pt>
                <c:pt idx="13">
                  <c:v>0.92592592592592582</c:v>
                </c:pt>
                <c:pt idx="14">
                  <c:v>0.83333333333333337</c:v>
                </c:pt>
                <c:pt idx="15">
                  <c:v>0.36630036630036628</c:v>
                </c:pt>
              </c:numCache>
            </c:numRef>
          </c:xVal>
          <c:yVal>
            <c:numRef>
              <c:f>'Round 2'!$F$2:$F$17</c:f>
              <c:numCache>
                <c:formatCode>General</c:formatCode>
                <c:ptCount val="16"/>
                <c:pt idx="0">
                  <c:v>1.74</c:v>
                </c:pt>
                <c:pt idx="1">
                  <c:v>1.42</c:v>
                </c:pt>
                <c:pt idx="2">
                  <c:v>1.52</c:v>
                </c:pt>
                <c:pt idx="3">
                  <c:v>2.2000000000000002</c:v>
                </c:pt>
                <c:pt idx="4">
                  <c:v>2.29</c:v>
                </c:pt>
                <c:pt idx="5">
                  <c:v>2.4900000000000002</c:v>
                </c:pt>
                <c:pt idx="6">
                  <c:v>2.5099999999999998</c:v>
                </c:pt>
                <c:pt idx="7">
                  <c:v>2.6019999999999999</c:v>
                </c:pt>
                <c:pt idx="8">
                  <c:v>3.29</c:v>
                </c:pt>
                <c:pt idx="9">
                  <c:v>2.81</c:v>
                </c:pt>
                <c:pt idx="10">
                  <c:v>2.82</c:v>
                </c:pt>
                <c:pt idx="11">
                  <c:v>2.87</c:v>
                </c:pt>
                <c:pt idx="12">
                  <c:v>2.87</c:v>
                </c:pt>
                <c:pt idx="13">
                  <c:v>2.14</c:v>
                </c:pt>
                <c:pt idx="14">
                  <c:v>3.39</c:v>
                </c:pt>
                <c:pt idx="15">
                  <c:v>3.54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03A6-49E2-A5B8-5C005555A745}"/>
            </c:ext>
          </c:extLst>
        </c:ser>
        <c:ser>
          <c:idx val="1"/>
          <c:order val="1"/>
          <c:spPr>
            <a:ln w="19050">
              <a:noFill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'Round 2'!$O$1:$S$1</c:f>
              <c:numCache>
                <c:formatCode>General</c:formatCode>
                <c:ptCount val="5"/>
                <c:pt idx="0" formatCode="0.00">
                  <c:v>0</c:v>
                </c:pt>
              </c:numCache>
            </c:numRef>
          </c:xVal>
          <c:yVal>
            <c:numRef>
              <c:f>'Round 2'!$O$2:$S$2</c:f>
              <c:numCache>
                <c:formatCode>General</c:formatCode>
                <c:ptCount val="5"/>
                <c:pt idx="0" formatCode="0.0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03A6-49E2-A5B8-5C005555A745}"/>
            </c:ext>
          </c:extLst>
        </c:ser>
        <c:dLbls/>
        <c:axId val="90740224"/>
        <c:axId val="90742144"/>
      </c:scatterChart>
      <c:valAx>
        <c:axId val="907402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en-US" sz="1050"/>
                  <a:t>Power Loss</a:t>
                </a:r>
              </a:p>
            </c:rich>
          </c:tx>
          <c:layout/>
        </c:title>
        <c:numFmt formatCode="0.00" sourceLinked="1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90742144"/>
        <c:crosses val="autoZero"/>
        <c:crossBetween val="midCat"/>
      </c:valAx>
      <c:valAx>
        <c:axId val="9074214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Toxicity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90740224"/>
        <c:crosses val="autoZero"/>
        <c:crossBetween val="midCat"/>
      </c:valAx>
      <c:spPr>
        <a:ln w="19050">
          <a:solidFill>
            <a:schemeClr val="tx1"/>
          </a:solidFill>
        </a:ln>
      </c:spPr>
    </c:plotArea>
    <c:plotVisOnly val="1"/>
    <c:dispBlanksAs val="gap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'Round 2'!$E$2:$E$17</c:f>
              <c:numCache>
                <c:formatCode>0.00</c:formatCode>
                <c:ptCount val="16"/>
                <c:pt idx="0">
                  <c:v>1.2658227848101264</c:v>
                </c:pt>
                <c:pt idx="1">
                  <c:v>1.6949152542372883</c:v>
                </c:pt>
                <c:pt idx="2">
                  <c:v>1.3157894736842106</c:v>
                </c:pt>
                <c:pt idx="3">
                  <c:v>1.3333333333333333</c:v>
                </c:pt>
                <c:pt idx="4">
                  <c:v>1.0101010101010102</c:v>
                </c:pt>
                <c:pt idx="5">
                  <c:v>0.60240963855421692</c:v>
                </c:pt>
                <c:pt idx="6">
                  <c:v>1.1235955056179776</c:v>
                </c:pt>
                <c:pt idx="7">
                  <c:v>1.4234875444839858</c:v>
                </c:pt>
                <c:pt idx="8">
                  <c:v>0.48076923076923073</c:v>
                </c:pt>
                <c:pt idx="9">
                  <c:v>0.625</c:v>
                </c:pt>
                <c:pt idx="10">
                  <c:v>0.49019607843137253</c:v>
                </c:pt>
                <c:pt idx="11">
                  <c:v>1.4184397163120568</c:v>
                </c:pt>
                <c:pt idx="12">
                  <c:v>1.5151515151515151</c:v>
                </c:pt>
                <c:pt idx="13">
                  <c:v>0.92592592592592582</c:v>
                </c:pt>
                <c:pt idx="14">
                  <c:v>0.83333333333333337</c:v>
                </c:pt>
                <c:pt idx="15">
                  <c:v>0.36630036630036628</c:v>
                </c:pt>
              </c:numCache>
            </c:numRef>
          </c:xVal>
          <c:yVal>
            <c:numRef>
              <c:f>'Round 2'!$G$2:$G$17</c:f>
              <c:numCache>
                <c:formatCode>General</c:formatCode>
                <c:ptCount val="16"/>
                <c:pt idx="0">
                  <c:v>0.5376344086021505</c:v>
                </c:pt>
                <c:pt idx="1">
                  <c:v>0.53191489361702127</c:v>
                </c:pt>
                <c:pt idx="2">
                  <c:v>0.58823529411764708</c:v>
                </c:pt>
                <c:pt idx="3">
                  <c:v>0.50505050505050508</c:v>
                </c:pt>
                <c:pt idx="4">
                  <c:v>0.5988023952095809</c:v>
                </c:pt>
                <c:pt idx="5">
                  <c:v>0.6097560975609756</c:v>
                </c:pt>
                <c:pt idx="6">
                  <c:v>0.5</c:v>
                </c:pt>
                <c:pt idx="7">
                  <c:v>0.90909090909090906</c:v>
                </c:pt>
                <c:pt idx="8">
                  <c:v>0.46728971962616822</c:v>
                </c:pt>
                <c:pt idx="9">
                  <c:v>0.61349693251533743</c:v>
                </c:pt>
                <c:pt idx="10">
                  <c:v>0.46728971962616822</c:v>
                </c:pt>
                <c:pt idx="11">
                  <c:v>0.7407407407407407</c:v>
                </c:pt>
                <c:pt idx="12">
                  <c:v>0.70921985815602839</c:v>
                </c:pt>
                <c:pt idx="13">
                  <c:v>0.4504504504504504</c:v>
                </c:pt>
                <c:pt idx="14">
                  <c:v>0.92592592592592582</c:v>
                </c:pt>
                <c:pt idx="15">
                  <c:v>0.67567567567567566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6015-4103-B547-7ABDCB4EA4EE}"/>
            </c:ext>
          </c:extLst>
        </c:ser>
        <c:ser>
          <c:idx val="1"/>
          <c:order val="1"/>
          <c:spPr>
            <a:ln w="19050">
              <a:noFill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'Round 2'!$O$1:$S$1</c:f>
              <c:numCache>
                <c:formatCode>General</c:formatCode>
                <c:ptCount val="5"/>
                <c:pt idx="0" formatCode="0.00">
                  <c:v>0</c:v>
                </c:pt>
              </c:numCache>
            </c:numRef>
          </c:xVal>
          <c:yVal>
            <c:numRef>
              <c:f>'Round 2'!$O$3:$S$3</c:f>
              <c:numCache>
                <c:formatCode>General</c:formatCode>
                <c:ptCount val="5"/>
                <c:pt idx="0" formatCode="0.0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6015-4103-B547-7ABDCB4EA4EE}"/>
            </c:ext>
          </c:extLst>
        </c:ser>
        <c:dLbls/>
        <c:axId val="91305088"/>
        <c:axId val="91307008"/>
      </c:scatterChart>
      <c:valAx>
        <c:axId val="913050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en-US" sz="1050"/>
                  <a:t>Power</a:t>
                </a:r>
                <a:r>
                  <a:rPr lang="en-US" sz="1050" baseline="0"/>
                  <a:t> Loss</a:t>
                </a:r>
                <a:endParaRPr lang="en-US" sz="1050"/>
              </a:p>
            </c:rich>
          </c:tx>
          <c:layout/>
        </c:title>
        <c:numFmt formatCode="0.00" sourceLinked="1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91307008"/>
        <c:crosses val="autoZero"/>
        <c:crossBetween val="midCat"/>
      </c:valAx>
      <c:valAx>
        <c:axId val="9130700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Scarcity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91305088"/>
        <c:crosses val="autoZero"/>
        <c:crossBetween val="midCat"/>
      </c:valAx>
      <c:spPr>
        <a:ln w="19050">
          <a:solidFill>
            <a:schemeClr val="tx1"/>
          </a:solidFill>
        </a:ln>
      </c:spPr>
    </c:plotArea>
    <c:plotVisOnly val="1"/>
    <c:dispBlanksAs val="gap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4983257816258647"/>
          <c:y val="4.107057718702592E-2"/>
          <c:w val="0.80063913221434868"/>
          <c:h val="0.63028486118134319"/>
        </c:manualLayout>
      </c:layout>
      <c:scatterChart>
        <c:scatterStyle val="lineMarker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'Round 2'!$E$2:$E$17</c:f>
              <c:numCache>
                <c:formatCode>0.00</c:formatCode>
                <c:ptCount val="16"/>
                <c:pt idx="0">
                  <c:v>1.2658227848101264</c:v>
                </c:pt>
                <c:pt idx="1">
                  <c:v>1.6949152542372883</c:v>
                </c:pt>
                <c:pt idx="2">
                  <c:v>1.3157894736842106</c:v>
                </c:pt>
                <c:pt idx="3">
                  <c:v>1.3333333333333333</c:v>
                </c:pt>
                <c:pt idx="4">
                  <c:v>1.0101010101010102</c:v>
                </c:pt>
                <c:pt idx="5">
                  <c:v>0.60240963855421692</c:v>
                </c:pt>
                <c:pt idx="6">
                  <c:v>1.1235955056179776</c:v>
                </c:pt>
                <c:pt idx="7">
                  <c:v>1.4234875444839858</c:v>
                </c:pt>
                <c:pt idx="8">
                  <c:v>0.48076923076923073</c:v>
                </c:pt>
                <c:pt idx="9">
                  <c:v>0.625</c:v>
                </c:pt>
                <c:pt idx="10">
                  <c:v>0.49019607843137253</c:v>
                </c:pt>
                <c:pt idx="11">
                  <c:v>1.4184397163120568</c:v>
                </c:pt>
                <c:pt idx="12">
                  <c:v>1.5151515151515151</c:v>
                </c:pt>
                <c:pt idx="13">
                  <c:v>0.92592592592592582</c:v>
                </c:pt>
                <c:pt idx="14">
                  <c:v>0.83333333333333337</c:v>
                </c:pt>
                <c:pt idx="15">
                  <c:v>0.36630036630036628</c:v>
                </c:pt>
              </c:numCache>
            </c:numRef>
          </c:xVal>
          <c:yVal>
            <c:numRef>
              <c:f>'Round 2'!$I$2:$I$17</c:f>
              <c:numCache>
                <c:formatCode>General</c:formatCode>
                <c:ptCount val="16"/>
                <c:pt idx="0">
                  <c:v>0.13400000000000001</c:v>
                </c:pt>
                <c:pt idx="1">
                  <c:v>0.159</c:v>
                </c:pt>
                <c:pt idx="2">
                  <c:v>0.25800000000000001</c:v>
                </c:pt>
                <c:pt idx="3">
                  <c:v>0.28999999999999998</c:v>
                </c:pt>
                <c:pt idx="4">
                  <c:v>0.34100000000000003</c:v>
                </c:pt>
                <c:pt idx="5">
                  <c:v>0.35099999999999998</c:v>
                </c:pt>
                <c:pt idx="6">
                  <c:v>0.41</c:v>
                </c:pt>
                <c:pt idx="7">
                  <c:v>0.438</c:v>
                </c:pt>
                <c:pt idx="8">
                  <c:v>0.51200000000000001</c:v>
                </c:pt>
                <c:pt idx="9">
                  <c:v>0.57999999999999996</c:v>
                </c:pt>
                <c:pt idx="10">
                  <c:v>0.61299999999999999</c:v>
                </c:pt>
                <c:pt idx="11">
                  <c:v>0.71499999999999997</c:v>
                </c:pt>
                <c:pt idx="12">
                  <c:v>0.84299999999999997</c:v>
                </c:pt>
                <c:pt idx="13">
                  <c:v>0.91300000000000003</c:v>
                </c:pt>
                <c:pt idx="14">
                  <c:v>0.94599999999999995</c:v>
                </c:pt>
                <c:pt idx="15">
                  <c:v>0.99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1319-4602-BC42-86EC664CCAA3}"/>
            </c:ext>
          </c:extLst>
        </c:ser>
        <c:ser>
          <c:idx val="1"/>
          <c:order val="1"/>
          <c:spPr>
            <a:ln w="19050">
              <a:noFill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'Round 2'!$O$1:$S$1</c:f>
              <c:numCache>
                <c:formatCode>General</c:formatCode>
                <c:ptCount val="5"/>
                <c:pt idx="0" formatCode="0.00">
                  <c:v>0</c:v>
                </c:pt>
              </c:numCache>
            </c:numRef>
          </c:xVal>
          <c:yVal>
            <c:numRef>
              <c:f>'Round 2'!$O$4:$S$4</c:f>
              <c:numCache>
                <c:formatCode>General</c:formatCode>
                <c:ptCount val="5"/>
                <c:pt idx="0" formatCode="0.0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1319-4602-BC42-86EC664CCAA3}"/>
            </c:ext>
          </c:extLst>
        </c:ser>
        <c:dLbls/>
        <c:axId val="91353856"/>
        <c:axId val="91355776"/>
      </c:scatterChart>
      <c:valAx>
        <c:axId val="913538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en-US" sz="1050"/>
                  <a:t>Power Loss</a:t>
                </a:r>
              </a:p>
            </c:rich>
          </c:tx>
          <c:layout/>
        </c:title>
        <c:numFmt formatCode="0.00" sourceLinked="1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91355776"/>
        <c:crosses val="autoZero"/>
        <c:crossBetween val="midCat"/>
      </c:valAx>
      <c:valAx>
        <c:axId val="9135577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Weight</a:t>
                </a:r>
              </a:p>
            </c:rich>
          </c:tx>
          <c:layout>
            <c:manualLayout>
              <c:xMode val="edge"/>
              <c:yMode val="edge"/>
              <c:x val="0"/>
              <c:y val="0.22893447952033527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91353856"/>
        <c:crosses val="autoZero"/>
        <c:crossBetween val="midCat"/>
      </c:valAx>
      <c:spPr>
        <a:ln w="19050">
          <a:solidFill>
            <a:schemeClr val="tx1"/>
          </a:solidFill>
        </a:ln>
      </c:spPr>
    </c:plotArea>
    <c:plotVisOnly val="1"/>
    <c:dispBlanksAs val="gap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'Round 3'!$AN$2:$AN$17</c:f>
              <c:numCache>
                <c:formatCode>General</c:formatCode>
                <c:ptCount val="16"/>
                <c:pt idx="0">
                  <c:v>1.74</c:v>
                </c:pt>
                <c:pt idx="1">
                  <c:v>1.42</c:v>
                </c:pt>
                <c:pt idx="2">
                  <c:v>1.52</c:v>
                </c:pt>
                <c:pt idx="3">
                  <c:v>2.2000000000000002</c:v>
                </c:pt>
                <c:pt idx="4">
                  <c:v>2.29</c:v>
                </c:pt>
                <c:pt idx="5">
                  <c:v>2.4900000000000002</c:v>
                </c:pt>
                <c:pt idx="6">
                  <c:v>2.5099999999999998</c:v>
                </c:pt>
                <c:pt idx="7">
                  <c:v>2.6019999999999999</c:v>
                </c:pt>
                <c:pt idx="8">
                  <c:v>3.29</c:v>
                </c:pt>
                <c:pt idx="9">
                  <c:v>2.81</c:v>
                </c:pt>
                <c:pt idx="10">
                  <c:v>2.82</c:v>
                </c:pt>
                <c:pt idx="11">
                  <c:v>2.87</c:v>
                </c:pt>
                <c:pt idx="12">
                  <c:v>2.87</c:v>
                </c:pt>
                <c:pt idx="13">
                  <c:v>2.14</c:v>
                </c:pt>
                <c:pt idx="14">
                  <c:v>3.39</c:v>
                </c:pt>
                <c:pt idx="15">
                  <c:v>3.54</c:v>
                </c:pt>
              </c:numCache>
            </c:numRef>
          </c:xVal>
          <c:yVal>
            <c:numRef>
              <c:f>'Round 3'!$AO$2:$AO$17</c:f>
              <c:numCache>
                <c:formatCode>General</c:formatCode>
                <c:ptCount val="16"/>
                <c:pt idx="0">
                  <c:v>1.86</c:v>
                </c:pt>
                <c:pt idx="1">
                  <c:v>1.88</c:v>
                </c:pt>
                <c:pt idx="2">
                  <c:v>1.7</c:v>
                </c:pt>
                <c:pt idx="3">
                  <c:v>1.98</c:v>
                </c:pt>
                <c:pt idx="4">
                  <c:v>1.67</c:v>
                </c:pt>
                <c:pt idx="5">
                  <c:v>1.64</c:v>
                </c:pt>
                <c:pt idx="6">
                  <c:v>2</c:v>
                </c:pt>
                <c:pt idx="7">
                  <c:v>1.1000000000000001</c:v>
                </c:pt>
                <c:pt idx="8">
                  <c:v>2.14</c:v>
                </c:pt>
                <c:pt idx="9">
                  <c:v>1.63</c:v>
                </c:pt>
                <c:pt idx="10">
                  <c:v>2.14</c:v>
                </c:pt>
                <c:pt idx="11">
                  <c:v>1.35</c:v>
                </c:pt>
                <c:pt idx="12">
                  <c:v>1.41</c:v>
                </c:pt>
                <c:pt idx="13">
                  <c:v>2.2200000000000002</c:v>
                </c:pt>
                <c:pt idx="14">
                  <c:v>1.08</c:v>
                </c:pt>
                <c:pt idx="15">
                  <c:v>1.48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730A-4B88-B8B3-C8B1277D9475}"/>
            </c:ext>
          </c:extLst>
        </c:ser>
        <c:ser>
          <c:idx val="1"/>
          <c:order val="1"/>
          <c:spPr>
            <a:ln w="19050">
              <a:noFill/>
            </a:ln>
          </c:spPr>
          <c:xVal>
            <c:numRef>
              <c:f>'Round 3'!$Q$2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'Round 3'!$Q$3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730A-4B88-B8B3-C8B1277D9475}"/>
            </c:ext>
          </c:extLst>
        </c:ser>
        <c:dLbls/>
        <c:axId val="92201344"/>
        <c:axId val="92203264"/>
      </c:scatterChart>
      <c:valAx>
        <c:axId val="922013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en-US" sz="1050"/>
                  <a:t>Toxicity</a:t>
                </a:r>
              </a:p>
            </c:rich>
          </c:tx>
        </c:title>
        <c:numFmt formatCode="General" sourceLinked="1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92203264"/>
        <c:crosses val="autoZero"/>
        <c:crossBetween val="midCat"/>
      </c:valAx>
      <c:valAx>
        <c:axId val="92203264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Availabiity</a:t>
                </a:r>
              </a:p>
            </c:rich>
          </c:tx>
        </c:title>
        <c:numFmt formatCode="General" sourceLinked="1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92201344"/>
        <c:crosses val="autoZero"/>
        <c:crossBetween val="midCat"/>
      </c:valAx>
      <c:spPr>
        <a:ln w="19050">
          <a:solidFill>
            <a:schemeClr val="tx1"/>
          </a:solidFill>
        </a:ln>
      </c:spPr>
    </c:plotArea>
    <c:plotVisOnly val="1"/>
    <c:dispBlanksAs val="gap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'Round 3'!$E$2:$E$17</c:f>
              <c:numCache>
                <c:formatCode>0.00</c:formatCode>
                <c:ptCount val="16"/>
                <c:pt idx="0">
                  <c:v>1.2658227848101264</c:v>
                </c:pt>
                <c:pt idx="1">
                  <c:v>1.6949152542372883</c:v>
                </c:pt>
                <c:pt idx="2">
                  <c:v>1.3157894736842106</c:v>
                </c:pt>
                <c:pt idx="3">
                  <c:v>1.3333333333333333</c:v>
                </c:pt>
                <c:pt idx="4">
                  <c:v>1.0101010101010102</c:v>
                </c:pt>
                <c:pt idx="5">
                  <c:v>0.60240963855421692</c:v>
                </c:pt>
                <c:pt idx="6">
                  <c:v>1.1235955056179776</c:v>
                </c:pt>
                <c:pt idx="7">
                  <c:v>1.4234875444839858</c:v>
                </c:pt>
                <c:pt idx="8">
                  <c:v>0.48076923076923073</c:v>
                </c:pt>
                <c:pt idx="9">
                  <c:v>0.625</c:v>
                </c:pt>
                <c:pt idx="10">
                  <c:v>0.49019607843137253</c:v>
                </c:pt>
                <c:pt idx="11">
                  <c:v>1.4184397163120568</c:v>
                </c:pt>
                <c:pt idx="12">
                  <c:v>1.5151515151515151</c:v>
                </c:pt>
                <c:pt idx="13">
                  <c:v>0.92592592592592582</c:v>
                </c:pt>
                <c:pt idx="14">
                  <c:v>0.83333333333333337</c:v>
                </c:pt>
                <c:pt idx="15">
                  <c:v>0.36630036630036628</c:v>
                </c:pt>
              </c:numCache>
            </c:numRef>
          </c:xVal>
          <c:yVal>
            <c:numRef>
              <c:f>'Round 3'!$F$2:$F$17</c:f>
              <c:numCache>
                <c:formatCode>General</c:formatCode>
                <c:ptCount val="16"/>
                <c:pt idx="0">
                  <c:v>1.74</c:v>
                </c:pt>
                <c:pt idx="1">
                  <c:v>1.42</c:v>
                </c:pt>
                <c:pt idx="2">
                  <c:v>1.52</c:v>
                </c:pt>
                <c:pt idx="3">
                  <c:v>2.2000000000000002</c:v>
                </c:pt>
                <c:pt idx="4">
                  <c:v>2.29</c:v>
                </c:pt>
                <c:pt idx="5">
                  <c:v>2.4900000000000002</c:v>
                </c:pt>
                <c:pt idx="6">
                  <c:v>2.5099999999999998</c:v>
                </c:pt>
                <c:pt idx="7">
                  <c:v>2.6019999999999999</c:v>
                </c:pt>
                <c:pt idx="8">
                  <c:v>3.29</c:v>
                </c:pt>
                <c:pt idx="9">
                  <c:v>2.81</c:v>
                </c:pt>
                <c:pt idx="10">
                  <c:v>2.82</c:v>
                </c:pt>
                <c:pt idx="11">
                  <c:v>2.87</c:v>
                </c:pt>
                <c:pt idx="12">
                  <c:v>2.87</c:v>
                </c:pt>
                <c:pt idx="13">
                  <c:v>2.14</c:v>
                </c:pt>
                <c:pt idx="14">
                  <c:v>3.39</c:v>
                </c:pt>
                <c:pt idx="15">
                  <c:v>3.54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03A6-49E2-A5B8-5C005555A745}"/>
            </c:ext>
          </c:extLst>
        </c:ser>
        <c:ser>
          <c:idx val="1"/>
          <c:order val="1"/>
          <c:spPr>
            <a:ln w="19050">
              <a:noFill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'Round 3'!$Q$1:$U$1</c:f>
              <c:numCache>
                <c:formatCode>General</c:formatCode>
                <c:ptCount val="5"/>
                <c:pt idx="0" formatCode="0.00">
                  <c:v>0</c:v>
                </c:pt>
              </c:numCache>
            </c:numRef>
          </c:xVal>
          <c:yVal>
            <c:numRef>
              <c:f>'Round 3'!$Q$2:$U$2</c:f>
              <c:numCache>
                <c:formatCode>General</c:formatCode>
                <c:ptCount val="5"/>
                <c:pt idx="0" formatCode="0.00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03A6-49E2-A5B8-5C005555A745}"/>
            </c:ext>
          </c:extLst>
        </c:ser>
        <c:dLbls/>
        <c:axId val="92451200"/>
        <c:axId val="92453120"/>
      </c:scatterChart>
      <c:valAx>
        <c:axId val="924512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en-US" sz="1050"/>
                  <a:t>Power Loss</a:t>
                </a:r>
              </a:p>
            </c:rich>
          </c:tx>
          <c:layout/>
        </c:title>
        <c:numFmt formatCode="0.00" sourceLinked="1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92453120"/>
        <c:crosses val="autoZero"/>
        <c:crossBetween val="midCat"/>
      </c:valAx>
      <c:valAx>
        <c:axId val="92453120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Toxicity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92451200"/>
        <c:crosses val="autoZero"/>
        <c:crossBetween val="midCat"/>
      </c:valAx>
      <c:spPr>
        <a:ln w="19050">
          <a:solidFill>
            <a:schemeClr val="tx1"/>
          </a:solidFill>
        </a:ln>
      </c:spPr>
    </c:plotArea>
    <c:plotVisOnly val="1"/>
    <c:dispBlanksAs val="gap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568324</xdr:colOff>
      <xdr:row>5</xdr:row>
      <xdr:rowOff>28575</xdr:rowOff>
    </xdr:from>
    <xdr:to>
      <xdr:col>18</xdr:col>
      <xdr:colOff>66675</xdr:colOff>
      <xdr:row>17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552449</xdr:colOff>
      <xdr:row>17</xdr:row>
      <xdr:rowOff>123824</xdr:rowOff>
    </xdr:from>
    <xdr:to>
      <xdr:col>18</xdr:col>
      <xdr:colOff>66674</xdr:colOff>
      <xdr:row>29</xdr:row>
      <xdr:rowOff>95249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47625</xdr:colOff>
      <xdr:row>17</xdr:row>
      <xdr:rowOff>152400</xdr:rowOff>
    </xdr:from>
    <xdr:to>
      <xdr:col>12</xdr:col>
      <xdr:colOff>285750</xdr:colOff>
      <xdr:row>28</xdr:row>
      <xdr:rowOff>160020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108884</xdr:colOff>
      <xdr:row>46</xdr:row>
      <xdr:rowOff>165847</xdr:rowOff>
    </xdr:from>
    <xdr:to>
      <xdr:col>15</xdr:col>
      <xdr:colOff>237565</xdr:colOff>
      <xdr:row>57</xdr:row>
      <xdr:rowOff>146797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257175</xdr:colOff>
      <xdr:row>18</xdr:row>
      <xdr:rowOff>38100</xdr:rowOff>
    </xdr:from>
    <xdr:to>
      <xdr:col>19</xdr:col>
      <xdr:colOff>50800</xdr:colOff>
      <xdr:row>29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247649</xdr:colOff>
      <xdr:row>6</xdr:row>
      <xdr:rowOff>104775</xdr:rowOff>
    </xdr:from>
    <xdr:to>
      <xdr:col>19</xdr:col>
      <xdr:colOff>38099</xdr:colOff>
      <xdr:row>17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723900</xdr:colOff>
      <xdr:row>18</xdr:row>
      <xdr:rowOff>38100</xdr:rowOff>
    </xdr:from>
    <xdr:to>
      <xdr:col>13</xdr:col>
      <xdr:colOff>123826</xdr:colOff>
      <xdr:row>29</xdr:row>
      <xdr:rowOff>19050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108884</xdr:colOff>
      <xdr:row>46</xdr:row>
      <xdr:rowOff>165847</xdr:rowOff>
    </xdr:from>
    <xdr:to>
      <xdr:col>17</xdr:col>
      <xdr:colOff>237565</xdr:colOff>
      <xdr:row>57</xdr:row>
      <xdr:rowOff>146797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180975</xdr:colOff>
      <xdr:row>18</xdr:row>
      <xdr:rowOff>57150</xdr:rowOff>
    </xdr:from>
    <xdr:to>
      <xdr:col>20</xdr:col>
      <xdr:colOff>584200</xdr:colOff>
      <xdr:row>29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247649</xdr:colOff>
      <xdr:row>6</xdr:row>
      <xdr:rowOff>104775</xdr:rowOff>
    </xdr:from>
    <xdr:to>
      <xdr:col>21</xdr:col>
      <xdr:colOff>38099</xdr:colOff>
      <xdr:row>17</xdr:row>
      <xdr:rowOff>85725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571500</xdr:colOff>
      <xdr:row>18</xdr:row>
      <xdr:rowOff>47625</xdr:rowOff>
    </xdr:from>
    <xdr:to>
      <xdr:col>14</xdr:col>
      <xdr:colOff>809626</xdr:colOff>
      <xdr:row>29</xdr:row>
      <xdr:rowOff>28575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282575</xdr:colOff>
      <xdr:row>0</xdr:row>
      <xdr:rowOff>47625</xdr:rowOff>
    </xdr:from>
    <xdr:to>
      <xdr:col>22</xdr:col>
      <xdr:colOff>257175</xdr:colOff>
      <xdr:row>11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314325</xdr:colOff>
      <xdr:row>11</xdr:row>
      <xdr:rowOff>76200</xdr:rowOff>
    </xdr:from>
    <xdr:to>
      <xdr:col>22</xdr:col>
      <xdr:colOff>304800</xdr:colOff>
      <xdr:row>22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542925</xdr:colOff>
      <xdr:row>17</xdr:row>
      <xdr:rowOff>28575</xdr:rowOff>
    </xdr:from>
    <xdr:to>
      <xdr:col>15</xdr:col>
      <xdr:colOff>504825</xdr:colOff>
      <xdr:row>28</xdr:row>
      <xdr:rowOff>9525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47625</xdr:colOff>
      <xdr:row>17</xdr:row>
      <xdr:rowOff>38100</xdr:rowOff>
    </xdr:from>
    <xdr:to>
      <xdr:col>4</xdr:col>
      <xdr:colOff>228600</xdr:colOff>
      <xdr:row>28</xdr:row>
      <xdr:rowOff>19050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0</xdr:colOff>
      <xdr:row>19</xdr:row>
      <xdr:rowOff>159961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3118" t="8626" r="1963" b="2556"/>
        <a:stretch>
          <a:fillRect/>
        </a:stretch>
      </xdr:blipFill>
      <xdr:spPr bwMode="auto">
        <a:xfrm>
          <a:off x="0" y="190500"/>
          <a:ext cx="6096000" cy="358896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39"/>
  <sheetViews>
    <sheetView tabSelected="1" workbookViewId="0"/>
  </sheetViews>
  <sheetFormatPr defaultRowHeight="15"/>
  <cols>
    <col min="1" max="1" width="15" style="41" bestFit="1" customWidth="1"/>
    <col min="2" max="2" width="12.28515625" style="41" hidden="1" customWidth="1"/>
    <col min="3" max="3" width="12.7109375" style="41" customWidth="1"/>
    <col min="4" max="4" width="9.5703125" style="41" hidden="1" customWidth="1"/>
    <col min="5" max="7" width="12.7109375" style="18" customWidth="1"/>
    <col min="8" max="8" width="11" style="18" hidden="1" customWidth="1"/>
    <col min="9" max="9" width="3" style="18" hidden="1" customWidth="1"/>
    <col min="10" max="10" width="9.5703125" style="19" hidden="1" customWidth="1"/>
    <col min="11" max="11" width="7.85546875" style="19" hidden="1" customWidth="1"/>
    <col min="12" max="12" width="11" style="19" hidden="1" customWidth="1"/>
    <col min="13" max="13" width="11" style="19" bestFit="1" customWidth="1"/>
    <col min="14" max="14" width="9.140625" style="52"/>
    <col min="15" max="16" width="9.140625" style="31"/>
    <col min="17" max="17" width="9.28515625" style="31" customWidth="1"/>
    <col min="18" max="25" width="9.140625" style="31"/>
    <col min="26" max="26" width="9" style="31" customWidth="1"/>
    <col min="27" max="32" width="9.140625" style="31"/>
    <col min="33" max="33" width="10.85546875" style="31" bestFit="1" customWidth="1"/>
    <col min="34" max="34" width="9.140625" style="31"/>
    <col min="35" max="35" width="8.85546875" style="31" bestFit="1" customWidth="1"/>
    <col min="36" max="16384" width="9.140625" style="31"/>
  </cols>
  <sheetData>
    <row r="1" spans="1:44">
      <c r="A1" s="29" t="s">
        <v>0</v>
      </c>
      <c r="B1" s="30" t="s">
        <v>19</v>
      </c>
      <c r="C1" s="30" t="s">
        <v>19</v>
      </c>
      <c r="D1" s="31" t="s">
        <v>17</v>
      </c>
      <c r="E1" s="19" t="s">
        <v>28</v>
      </c>
      <c r="F1" s="19" t="s">
        <v>18</v>
      </c>
      <c r="G1" s="19" t="s">
        <v>29</v>
      </c>
      <c r="H1" s="19" t="s">
        <v>22</v>
      </c>
      <c r="I1" s="19"/>
      <c r="J1" s="44" t="s">
        <v>17</v>
      </c>
      <c r="K1" s="44" t="s">
        <v>18</v>
      </c>
      <c r="L1" s="45" t="s">
        <v>22</v>
      </c>
      <c r="M1" s="27" t="s">
        <v>28</v>
      </c>
      <c r="N1" s="50" t="e">
        <f>1/SUM(J2:J17)*1</f>
        <v>#DIV/0!</v>
      </c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3"/>
      <c r="AA1" s="34"/>
      <c r="AB1" s="34"/>
      <c r="AC1" s="34"/>
      <c r="AD1" s="34"/>
      <c r="AE1" s="34"/>
      <c r="AF1" s="34" t="s">
        <v>17</v>
      </c>
      <c r="AG1" s="34" t="s">
        <v>18</v>
      </c>
      <c r="AH1" s="34" t="s">
        <v>22</v>
      </c>
      <c r="AI1" s="34"/>
      <c r="AJ1" s="34"/>
      <c r="AK1" s="34"/>
      <c r="AL1" s="34"/>
      <c r="AM1" s="34"/>
      <c r="AN1" s="34"/>
      <c r="AO1" s="34"/>
      <c r="AP1" s="34"/>
      <c r="AQ1" s="34"/>
      <c r="AR1" s="34"/>
    </row>
    <row r="2" spans="1:44">
      <c r="A2" s="35" t="s">
        <v>26</v>
      </c>
      <c r="B2" s="36" t="e">
        <f>C2/SUM(C$2:C$17)*100</f>
        <v>#DIV/0!</v>
      </c>
      <c r="C2" s="36"/>
      <c r="D2" s="37">
        <v>0.79</v>
      </c>
      <c r="E2" s="20">
        <f t="shared" ref="E2:E17" si="0">1/D2</f>
        <v>1.2658227848101264</v>
      </c>
      <c r="F2" s="24">
        <v>1.74</v>
      </c>
      <c r="G2" s="20">
        <f>1/H2</f>
        <v>0.5376344086021505</v>
      </c>
      <c r="H2" s="24">
        <v>1.86</v>
      </c>
      <c r="I2" s="22"/>
      <c r="J2" s="19" t="e">
        <f>B2*AA2*D2/100*1.28*2</f>
        <v>#DIV/0!</v>
      </c>
      <c r="K2" s="19" t="e">
        <f>B2/AB2/10*F2/4*1.04*0.9</f>
        <v>#DIV/0!</v>
      </c>
      <c r="L2" s="28" t="e">
        <f t="shared" ref="L2:L16" si="1">H2*B2/100</f>
        <v>#DIV/0!</v>
      </c>
      <c r="M2" s="27" t="s">
        <v>21</v>
      </c>
      <c r="N2" s="50" t="e">
        <f>SUM(K2:K17)/4</f>
        <v>#DIV/0!</v>
      </c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4"/>
      <c r="AA2" s="34">
        <v>0.79762976067302671</v>
      </c>
      <c r="AB2" s="34">
        <v>0.80376522802682704</v>
      </c>
      <c r="AC2" s="34">
        <v>0.937281295476878</v>
      </c>
      <c r="AD2" s="34">
        <v>0.54607464453801857</v>
      </c>
      <c r="AE2" s="34"/>
      <c r="AF2" s="34">
        <v>0.79</v>
      </c>
      <c r="AG2" s="34">
        <v>1.74</v>
      </c>
      <c r="AH2" s="34">
        <v>1.86</v>
      </c>
      <c r="AI2" s="34">
        <v>14.6</v>
      </c>
      <c r="AJ2" s="34">
        <v>1.86</v>
      </c>
      <c r="AK2" s="34">
        <v>2.58</v>
      </c>
      <c r="AL2" s="34"/>
      <c r="AM2" s="34"/>
      <c r="AN2" s="34"/>
      <c r="AO2" s="34"/>
      <c r="AP2" s="34"/>
      <c r="AQ2" s="34"/>
      <c r="AR2" s="34"/>
    </row>
    <row r="3" spans="1:44">
      <c r="A3" s="35" t="s">
        <v>27</v>
      </c>
      <c r="B3" s="36" t="e">
        <f t="shared" ref="B3:B17" si="2">C3/SUM(C$2:C$17)*100</f>
        <v>#DIV/0!</v>
      </c>
      <c r="C3" s="36"/>
      <c r="D3" s="37">
        <v>0.59</v>
      </c>
      <c r="E3" s="20">
        <f t="shared" si="0"/>
        <v>1.6949152542372883</v>
      </c>
      <c r="F3" s="24">
        <v>1.42</v>
      </c>
      <c r="G3" s="20">
        <f t="shared" ref="G3:G17" si="3">1/H3</f>
        <v>0.53191489361702127</v>
      </c>
      <c r="H3" s="24">
        <v>1.88</v>
      </c>
      <c r="I3" s="22"/>
      <c r="J3" s="19" t="e">
        <f>B3*AA3*D3/20*0.6</f>
        <v>#DIV/0!</v>
      </c>
      <c r="K3" s="19" t="e">
        <f>B3/AB3/10*F3/8*1.04*1.3</f>
        <v>#DIV/0!</v>
      </c>
      <c r="L3" s="28" t="e">
        <f t="shared" si="1"/>
        <v>#DIV/0!</v>
      </c>
      <c r="M3" s="27" t="s">
        <v>29</v>
      </c>
      <c r="N3" s="50" t="e">
        <f>1/SUM(L2:L17)</f>
        <v>#DIV/0!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4"/>
      <c r="AA3" s="34">
        <v>0.18330422911708744</v>
      </c>
      <c r="AB3" s="34">
        <v>0.28556923517985577</v>
      </c>
      <c r="AC3" s="34">
        <v>0.88491703377948905</v>
      </c>
      <c r="AD3" s="34">
        <v>0.22002395666361629</v>
      </c>
      <c r="AE3" s="34"/>
      <c r="AF3" s="34">
        <v>0.59</v>
      </c>
      <c r="AG3" s="34">
        <v>1.42</v>
      </c>
      <c r="AH3" s="34">
        <v>1.88</v>
      </c>
      <c r="AI3" s="34">
        <v>7.84</v>
      </c>
      <c r="AJ3" s="34">
        <v>1.88</v>
      </c>
      <c r="AK3" s="34">
        <v>1.88</v>
      </c>
      <c r="AL3" s="34"/>
      <c r="AM3" s="34"/>
      <c r="AN3" s="34"/>
      <c r="AO3" s="34"/>
      <c r="AP3" s="34"/>
      <c r="AQ3" s="34"/>
      <c r="AR3" s="34"/>
    </row>
    <row r="4" spans="1:44">
      <c r="A4" s="35" t="s">
        <v>30</v>
      </c>
      <c r="B4" s="36" t="e">
        <f t="shared" si="2"/>
        <v>#DIV/0!</v>
      </c>
      <c r="C4" s="36"/>
      <c r="D4" s="37">
        <v>0.76</v>
      </c>
      <c r="E4" s="20">
        <f t="shared" si="0"/>
        <v>1.3157894736842106</v>
      </c>
      <c r="F4" s="24">
        <v>1.52</v>
      </c>
      <c r="G4" s="20">
        <f t="shared" si="3"/>
        <v>0.58823529411764708</v>
      </c>
      <c r="H4" s="24">
        <v>1.7</v>
      </c>
      <c r="I4" s="22"/>
      <c r="J4" s="19" t="e">
        <f>B4*AA4*D4/100*1.28*1.3</f>
        <v>#DIV/0!</v>
      </c>
      <c r="K4" s="19" t="e">
        <f>B4/AB4/10*F4/8*1.04*3.4</f>
        <v>#DIV/0!</v>
      </c>
      <c r="L4" s="28" t="e">
        <f t="shared" si="1"/>
        <v>#DIV/0!</v>
      </c>
      <c r="M4" s="28"/>
      <c r="N4" s="51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4"/>
      <c r="AA4" s="34">
        <v>0.51663111024587116</v>
      </c>
      <c r="AB4" s="34">
        <v>0.73915125207478294</v>
      </c>
      <c r="AC4" s="34">
        <v>0.91428476730036323</v>
      </c>
      <c r="AD4" s="34">
        <v>0.80658108838317344</v>
      </c>
      <c r="AE4" s="34"/>
      <c r="AF4" s="34">
        <v>0.76</v>
      </c>
      <c r="AG4" s="34">
        <v>1.52</v>
      </c>
      <c r="AH4" s="34">
        <v>1.7</v>
      </c>
      <c r="AI4" s="34">
        <v>17.899999999999999</v>
      </c>
      <c r="AJ4" s="34">
        <v>1.7</v>
      </c>
      <c r="AK4" s="34">
        <v>2.8250000000000002</v>
      </c>
      <c r="AL4" s="34"/>
      <c r="AM4" s="34"/>
      <c r="AN4" s="34"/>
      <c r="AO4" s="34"/>
      <c r="AP4" s="34"/>
      <c r="AQ4" s="34"/>
      <c r="AR4" s="34"/>
    </row>
    <row r="5" spans="1:44">
      <c r="A5" s="35" t="s">
        <v>31</v>
      </c>
      <c r="B5" s="36" t="e">
        <f t="shared" si="2"/>
        <v>#DIV/0!</v>
      </c>
      <c r="C5" s="36"/>
      <c r="D5" s="37">
        <v>0.75</v>
      </c>
      <c r="E5" s="20">
        <f t="shared" si="0"/>
        <v>1.3333333333333333</v>
      </c>
      <c r="F5" s="24">
        <v>2.2000000000000002</v>
      </c>
      <c r="G5" s="20">
        <f t="shared" si="3"/>
        <v>0.50505050505050508</v>
      </c>
      <c r="H5" s="24">
        <v>1.98</v>
      </c>
      <c r="I5" s="22"/>
      <c r="J5" s="19" t="e">
        <f>B5*AA5*D5/100*20.28</f>
        <v>#DIV/0!</v>
      </c>
      <c r="K5" s="19" t="e">
        <f>B5/AB5/10*F5/8*1.04*1.2</f>
        <v>#DIV/0!</v>
      </c>
      <c r="L5" s="28" t="e">
        <f t="shared" si="1"/>
        <v>#DIV/0!</v>
      </c>
      <c r="M5" s="28"/>
      <c r="N5" s="51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4"/>
      <c r="AA5" s="34">
        <v>1.4709164548914799E-2</v>
      </c>
      <c r="AB5" s="34">
        <v>0.53983699681732378</v>
      </c>
      <c r="AC5" s="34">
        <v>0.80917961249928694</v>
      </c>
      <c r="AD5" s="34">
        <v>0.9491101103492845</v>
      </c>
      <c r="AE5" s="34"/>
      <c r="AF5" s="34">
        <v>1.94</v>
      </c>
      <c r="AG5" s="34">
        <v>2.2000000000000002</v>
      </c>
      <c r="AH5" s="34">
        <v>1.98</v>
      </c>
      <c r="AI5" s="34">
        <v>5.53</v>
      </c>
      <c r="AJ5" s="34">
        <v>1.98</v>
      </c>
      <c r="AK5" s="34">
        <v>1.42</v>
      </c>
      <c r="AL5" s="34"/>
      <c r="AM5" s="34"/>
      <c r="AN5" s="34"/>
      <c r="AO5" s="34"/>
      <c r="AP5" s="34"/>
      <c r="AQ5" s="34"/>
      <c r="AR5" s="34"/>
    </row>
    <row r="6" spans="1:44">
      <c r="A6" s="35" t="s">
        <v>32</v>
      </c>
      <c r="B6" s="36" t="e">
        <f t="shared" si="2"/>
        <v>#DIV/0!</v>
      </c>
      <c r="C6" s="36"/>
      <c r="D6" s="37">
        <v>0.99</v>
      </c>
      <c r="E6" s="20">
        <f t="shared" si="0"/>
        <v>1.0101010101010102</v>
      </c>
      <c r="F6" s="24">
        <v>2.29</v>
      </c>
      <c r="G6" s="20">
        <f t="shared" si="3"/>
        <v>0.5988023952095809</v>
      </c>
      <c r="H6" s="24">
        <v>1.67</v>
      </c>
      <c r="I6" s="22"/>
      <c r="J6" s="19" t="e">
        <f>B6*AA6*D6/100*1.28</f>
        <v>#DIV/0!</v>
      </c>
      <c r="K6" s="19" t="e">
        <f>B6/AB6/10*F6/5*1.04*2.4</f>
        <v>#DIV/0!</v>
      </c>
      <c r="L6" s="28" t="e">
        <f t="shared" si="1"/>
        <v>#DIV/0!</v>
      </c>
      <c r="M6" s="28"/>
      <c r="N6" s="51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4"/>
      <c r="AA6" s="34">
        <v>0.78280086074861399</v>
      </c>
      <c r="AB6" s="34">
        <v>0.56765551766173827</v>
      </c>
      <c r="AC6" s="34">
        <v>0.37994185174173789</v>
      </c>
      <c r="AD6" s="34">
        <v>3.9965558157044501E-2</v>
      </c>
      <c r="AE6" s="34"/>
      <c r="AF6" s="34">
        <v>0.99</v>
      </c>
      <c r="AG6" s="34">
        <v>2.29</v>
      </c>
      <c r="AH6" s="34">
        <v>1.67</v>
      </c>
      <c r="AI6" s="34">
        <v>8.4</v>
      </c>
      <c r="AJ6" s="34">
        <v>1.67</v>
      </c>
      <c r="AK6" s="34">
        <v>2.11</v>
      </c>
      <c r="AL6" s="34"/>
      <c r="AM6" s="34"/>
      <c r="AN6" s="34"/>
      <c r="AO6" s="34"/>
      <c r="AP6" s="34"/>
      <c r="AQ6" s="34"/>
      <c r="AR6" s="34"/>
    </row>
    <row r="7" spans="1:44">
      <c r="A7" s="35" t="s">
        <v>33</v>
      </c>
      <c r="B7" s="36" t="e">
        <f t="shared" si="2"/>
        <v>#DIV/0!</v>
      </c>
      <c r="C7" s="36"/>
      <c r="D7" s="37">
        <v>1.66</v>
      </c>
      <c r="E7" s="20">
        <f t="shared" si="0"/>
        <v>0.60240963855421692</v>
      </c>
      <c r="F7" s="24">
        <v>2.4900000000000002</v>
      </c>
      <c r="G7" s="20">
        <f t="shared" si="3"/>
        <v>0.6097560975609756</v>
      </c>
      <c r="H7" s="24">
        <v>1.64</v>
      </c>
      <c r="I7" s="22"/>
      <c r="J7" s="19" t="e">
        <f>B7*AA7*D7/100*1.28*3.1</f>
        <v>#DIV/0!</v>
      </c>
      <c r="K7" s="19" t="e">
        <f>B7/AB7/10*F7/5*1.04</f>
        <v>#DIV/0!</v>
      </c>
      <c r="L7" s="28" t="e">
        <f t="shared" si="1"/>
        <v>#DIV/0!</v>
      </c>
      <c r="M7" s="28"/>
      <c r="N7" s="51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4"/>
      <c r="AA7" s="34">
        <v>0.47337998806654591</v>
      </c>
      <c r="AB7" s="34">
        <v>0.83996804947202452</v>
      </c>
      <c r="AC7" s="34">
        <v>4.2148410418779481E-2</v>
      </c>
      <c r="AD7" s="34">
        <v>8.144711427589546E-3</v>
      </c>
      <c r="AE7" s="34"/>
      <c r="AF7" s="34">
        <v>1.66</v>
      </c>
      <c r="AG7" s="34">
        <v>2.4900000000000002</v>
      </c>
      <c r="AH7" s="34">
        <v>1.64</v>
      </c>
      <c r="AI7" s="34">
        <v>6.8</v>
      </c>
      <c r="AJ7" s="34">
        <v>1.64</v>
      </c>
      <c r="AK7" s="34">
        <v>1.675</v>
      </c>
      <c r="AL7" s="34"/>
      <c r="AM7" s="34"/>
      <c r="AN7" s="34"/>
      <c r="AO7" s="34"/>
      <c r="AP7" s="34"/>
      <c r="AQ7" s="34"/>
      <c r="AR7" s="34"/>
    </row>
    <row r="8" spans="1:44">
      <c r="A8" s="35" t="s">
        <v>34</v>
      </c>
      <c r="B8" s="36" t="e">
        <f t="shared" si="2"/>
        <v>#DIV/0!</v>
      </c>
      <c r="C8" s="36"/>
      <c r="D8" s="37">
        <v>0.89</v>
      </c>
      <c r="E8" s="20">
        <f t="shared" si="0"/>
        <v>1.1235955056179776</v>
      </c>
      <c r="F8" s="24">
        <v>2.5099999999999998</v>
      </c>
      <c r="G8" s="20">
        <f t="shared" si="3"/>
        <v>0.5</v>
      </c>
      <c r="H8" s="24">
        <v>2</v>
      </c>
      <c r="I8" s="22"/>
      <c r="J8" s="19" t="e">
        <f>B8*AA8*D8/100*1.28</f>
        <v>#DIV/0!</v>
      </c>
      <c r="K8" s="19" t="e">
        <f>B8/AB8/10*F8/5*1.04*1.5</f>
        <v>#DIV/0!</v>
      </c>
      <c r="L8" s="28" t="e">
        <f t="shared" si="1"/>
        <v>#DIV/0!</v>
      </c>
      <c r="M8" s="28"/>
      <c r="N8" s="51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4"/>
      <c r="AA8" s="34">
        <v>0.68734325399476071</v>
      </c>
      <c r="AB8" s="34">
        <v>0.34258744928602036</v>
      </c>
      <c r="AC8" s="34">
        <v>0.96627642460608265</v>
      </c>
      <c r="AD8" s="34">
        <v>0.38544264767149883</v>
      </c>
      <c r="AE8" s="34"/>
      <c r="AF8" s="34">
        <v>0.89</v>
      </c>
      <c r="AG8" s="34">
        <v>2.5099999999999998</v>
      </c>
      <c r="AH8" s="34">
        <v>2</v>
      </c>
      <c r="AI8" s="34">
        <v>11.6</v>
      </c>
      <c r="AJ8" s="34">
        <v>2</v>
      </c>
      <c r="AK8" s="34">
        <v>2.44</v>
      </c>
      <c r="AL8" s="34"/>
      <c r="AM8" s="34"/>
      <c r="AN8" s="34"/>
      <c r="AO8" s="34"/>
      <c r="AP8" s="34"/>
      <c r="AQ8" s="34"/>
      <c r="AR8" s="34"/>
    </row>
    <row r="9" spans="1:44">
      <c r="A9" s="35" t="s">
        <v>35</v>
      </c>
      <c r="B9" s="36" t="e">
        <f t="shared" si="2"/>
        <v>#DIV/0!</v>
      </c>
      <c r="C9" s="36"/>
      <c r="D9" s="39">
        <v>0.70250000000000001</v>
      </c>
      <c r="E9" s="20">
        <f t="shared" si="0"/>
        <v>1.4234875444839858</v>
      </c>
      <c r="F9" s="25">
        <v>2.6019999999999999</v>
      </c>
      <c r="G9" s="20">
        <f t="shared" si="3"/>
        <v>0.90909090909090906</v>
      </c>
      <c r="H9" s="25">
        <v>1.1000000000000001</v>
      </c>
      <c r="I9" s="46"/>
      <c r="J9" s="19" t="e">
        <f>B9*AA9*D9/100*1.28*2.3</f>
        <v>#DIV/0!</v>
      </c>
      <c r="K9" s="19" t="e">
        <f>B9/AB9/8*F9/5/3*0.3</f>
        <v>#DIV/0!</v>
      </c>
      <c r="L9" s="28" t="e">
        <f t="shared" si="1"/>
        <v>#DIV/0!</v>
      </c>
      <c r="M9" s="28"/>
      <c r="N9" s="51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4"/>
      <c r="AA9" s="34">
        <v>0.53177485412963743</v>
      </c>
      <c r="AB9" s="34">
        <v>0.2105740678453718</v>
      </c>
      <c r="AC9" s="34">
        <v>0.61134969247912307</v>
      </c>
      <c r="AD9" s="34">
        <v>0.32626795813552256</v>
      </c>
      <c r="AE9" s="34"/>
      <c r="AF9" s="34">
        <v>0.70250000000000001</v>
      </c>
      <c r="AG9" s="34">
        <v>2.6019999999999999</v>
      </c>
      <c r="AH9" s="34">
        <v>1.1000000000000001</v>
      </c>
      <c r="AI9" s="34">
        <v>29.6</v>
      </c>
      <c r="AJ9" s="34">
        <v>1.1000000000000001</v>
      </c>
      <c r="AK9" s="34">
        <v>4.5</v>
      </c>
      <c r="AL9" s="34"/>
      <c r="AM9" s="34"/>
      <c r="AN9" s="34"/>
      <c r="AO9" s="34"/>
      <c r="AP9" s="34"/>
      <c r="AQ9" s="34"/>
      <c r="AR9" s="34"/>
    </row>
    <row r="10" spans="1:44">
      <c r="A10" s="35" t="s">
        <v>36</v>
      </c>
      <c r="B10" s="36" t="e">
        <f t="shared" si="2"/>
        <v>#DIV/0!</v>
      </c>
      <c r="C10" s="36"/>
      <c r="D10" s="37">
        <v>2.08</v>
      </c>
      <c r="E10" s="20">
        <f t="shared" si="0"/>
        <v>0.48076923076923073</v>
      </c>
      <c r="F10" s="24">
        <v>3.29</v>
      </c>
      <c r="G10" s="20">
        <f t="shared" si="3"/>
        <v>0.46728971962616822</v>
      </c>
      <c r="H10" s="24">
        <v>2.14</v>
      </c>
      <c r="I10" s="22"/>
      <c r="J10" s="19" t="e">
        <f>B10*AA10*D10/100*1.28*3.4</f>
        <v>#DIV/0!</v>
      </c>
      <c r="K10" s="19" t="e">
        <f>B10/AB10/8*F10/5/4</f>
        <v>#DIV/0!</v>
      </c>
      <c r="L10" s="28" t="e">
        <f t="shared" si="1"/>
        <v>#DIV/0!</v>
      </c>
      <c r="M10" s="28"/>
      <c r="N10" s="51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4"/>
      <c r="AA10" s="34">
        <v>0.99190360178737658</v>
      </c>
      <c r="AB10" s="34">
        <v>0.16176529859320365</v>
      </c>
      <c r="AC10" s="34">
        <v>0.3430079391135451</v>
      </c>
      <c r="AD10" s="34">
        <v>0.12598563177304378</v>
      </c>
      <c r="AE10" s="34"/>
      <c r="AF10" s="34">
        <v>2.08</v>
      </c>
      <c r="AG10" s="34">
        <v>3.29</v>
      </c>
      <c r="AH10" s="34">
        <v>2.14</v>
      </c>
      <c r="AI10" s="34">
        <v>6.6</v>
      </c>
      <c r="AJ10" s="34">
        <v>2.14</v>
      </c>
      <c r="AK10" s="34">
        <v>1.7649999999999999</v>
      </c>
      <c r="AL10" s="34"/>
      <c r="AM10" s="34"/>
      <c r="AN10" s="34"/>
      <c r="AO10" s="34"/>
      <c r="AP10" s="34"/>
      <c r="AQ10" s="34"/>
      <c r="AR10" s="34"/>
    </row>
    <row r="11" spans="1:44">
      <c r="A11" s="35" t="s">
        <v>37</v>
      </c>
      <c r="B11" s="36" t="e">
        <f t="shared" si="2"/>
        <v>#DIV/0!</v>
      </c>
      <c r="C11" s="36"/>
      <c r="D11" s="37">
        <v>1.6</v>
      </c>
      <c r="E11" s="20">
        <f t="shared" si="0"/>
        <v>0.625</v>
      </c>
      <c r="F11" s="24">
        <v>2.81</v>
      </c>
      <c r="G11" s="20">
        <f t="shared" si="3"/>
        <v>0.61349693251533743</v>
      </c>
      <c r="H11" s="24">
        <v>1.63</v>
      </c>
      <c r="I11" s="22"/>
      <c r="J11" s="19" t="e">
        <f>B11*AA11*D11/100*1.28*1.3</f>
        <v>#DIV/0!</v>
      </c>
      <c r="K11" s="19" t="e">
        <f>B11/AB11/8*F11/5*1.04</f>
        <v>#DIV/0!</v>
      </c>
      <c r="L11" s="28" t="e">
        <f t="shared" si="1"/>
        <v>#DIV/0!</v>
      </c>
      <c r="M11" s="28"/>
      <c r="N11" s="51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4"/>
      <c r="AA11" s="34">
        <v>0.47172165553372836</v>
      </c>
      <c r="AB11" s="34">
        <v>0.99867143702185701</v>
      </c>
      <c r="AC11" s="34">
        <v>0.62957460635646523</v>
      </c>
      <c r="AD11" s="34">
        <v>0.27519802432009166</v>
      </c>
      <c r="AE11" s="34"/>
      <c r="AF11" s="34">
        <v>1.6</v>
      </c>
      <c r="AG11" s="34">
        <v>2.81</v>
      </c>
      <c r="AH11" s="34">
        <v>1.63</v>
      </c>
      <c r="AI11" s="34">
        <v>10.199999999999999</v>
      </c>
      <c r="AJ11" s="34">
        <v>1.63</v>
      </c>
      <c r="AK11" s="34">
        <v>2.0499999999999998</v>
      </c>
      <c r="AL11" s="34"/>
      <c r="AM11" s="34"/>
      <c r="AN11" s="34"/>
      <c r="AO11" s="34"/>
      <c r="AP11" s="34"/>
      <c r="AQ11" s="34"/>
      <c r="AR11" s="34"/>
    </row>
    <row r="12" spans="1:44">
      <c r="A12" s="35" t="s">
        <v>38</v>
      </c>
      <c r="B12" s="36" t="e">
        <f t="shared" si="2"/>
        <v>#DIV/0!</v>
      </c>
      <c r="C12" s="36"/>
      <c r="D12" s="37">
        <v>2.04</v>
      </c>
      <c r="E12" s="20">
        <f t="shared" si="0"/>
        <v>0.49019607843137253</v>
      </c>
      <c r="F12" s="24">
        <v>2.82</v>
      </c>
      <c r="G12" s="20">
        <f t="shared" si="3"/>
        <v>0.46728971962616822</v>
      </c>
      <c r="H12" s="24">
        <v>2.14</v>
      </c>
      <c r="I12" s="22"/>
      <c r="J12" s="19" t="e">
        <f>B12*AA12*D12/100*1.28*2.3</f>
        <v>#DIV/0!</v>
      </c>
      <c r="K12" s="19" t="e">
        <f>B12/AB12/8*F12/5*1.04*1.8</f>
        <v>#DIV/0!</v>
      </c>
      <c r="L12" s="28" t="e">
        <f t="shared" si="1"/>
        <v>#DIV/0!</v>
      </c>
      <c r="M12" s="28"/>
      <c r="N12" s="51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4"/>
      <c r="AA12" s="34">
        <v>0.75545449784389118</v>
      </c>
      <c r="AB12" s="34">
        <v>0.41897088375706848</v>
      </c>
      <c r="AC12" s="34">
        <v>0.13727688412027417</v>
      </c>
      <c r="AD12" s="34">
        <v>0.73084731936545799</v>
      </c>
      <c r="AE12" s="34"/>
      <c r="AF12" s="34">
        <v>2.04</v>
      </c>
      <c r="AG12" s="34">
        <v>2.82</v>
      </c>
      <c r="AH12" s="34">
        <v>2.14</v>
      </c>
      <c r="AI12" s="34">
        <v>7.4</v>
      </c>
      <c r="AJ12" s="34">
        <v>2.14</v>
      </c>
      <c r="AK12" s="34">
        <v>1.9970000000000001</v>
      </c>
      <c r="AL12" s="34"/>
      <c r="AM12" s="34"/>
      <c r="AN12" s="34"/>
      <c r="AO12" s="34"/>
      <c r="AP12" s="34"/>
      <c r="AQ12" s="34"/>
      <c r="AR12" s="34"/>
    </row>
    <row r="13" spans="1:44">
      <c r="A13" s="35" t="s">
        <v>39</v>
      </c>
      <c r="B13" s="36" t="e">
        <f t="shared" si="2"/>
        <v>#DIV/0!</v>
      </c>
      <c r="C13" s="36"/>
      <c r="D13" s="37">
        <v>0.70499999999999996</v>
      </c>
      <c r="E13" s="20">
        <f t="shared" si="0"/>
        <v>1.4184397163120568</v>
      </c>
      <c r="F13" s="24">
        <v>2.87</v>
      </c>
      <c r="G13" s="20">
        <f t="shared" si="3"/>
        <v>0.7407407407407407</v>
      </c>
      <c r="H13" s="24">
        <v>1.35</v>
      </c>
      <c r="I13" s="22"/>
      <c r="J13" s="19" t="e">
        <f>B13*AA13*D13/100*1.28</f>
        <v>#DIV/0!</v>
      </c>
      <c r="K13" s="19" t="e">
        <f>B13/AB13/8*F13/5*1.04</f>
        <v>#DIV/0!</v>
      </c>
      <c r="L13" s="28" t="e">
        <f t="shared" si="1"/>
        <v>#DIV/0!</v>
      </c>
      <c r="M13" s="28"/>
      <c r="N13" s="51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4"/>
      <c r="AA13" s="34">
        <v>0.63102645033157168</v>
      </c>
      <c r="AB13" s="34">
        <v>0.97250317147316911</v>
      </c>
      <c r="AC13" s="34">
        <v>0.44471231270606293</v>
      </c>
      <c r="AD13" s="34">
        <v>0.24193335739961996</v>
      </c>
      <c r="AE13" s="34"/>
      <c r="AF13" s="34">
        <v>0.70499999999999996</v>
      </c>
      <c r="AG13" s="34">
        <v>2.87</v>
      </c>
      <c r="AH13" s="34">
        <v>1.35</v>
      </c>
      <c r="AI13" s="34">
        <v>31.1</v>
      </c>
      <c r="AJ13" s="34">
        <v>1.35</v>
      </c>
      <c r="AK13" s="34">
        <v>3.08</v>
      </c>
      <c r="AL13" s="34"/>
      <c r="AM13" s="34"/>
      <c r="AN13" s="34"/>
      <c r="AO13" s="34"/>
      <c r="AP13" s="34"/>
      <c r="AQ13" s="34"/>
      <c r="AR13" s="34"/>
    </row>
    <row r="14" spans="1:44">
      <c r="A14" s="35" t="s">
        <v>40</v>
      </c>
      <c r="B14" s="36" t="e">
        <f t="shared" si="2"/>
        <v>#DIV/0!</v>
      </c>
      <c r="C14" s="36"/>
      <c r="D14" s="37">
        <v>0.66</v>
      </c>
      <c r="E14" s="20">
        <f t="shared" si="0"/>
        <v>1.5151515151515151</v>
      </c>
      <c r="F14" s="24">
        <v>2.87</v>
      </c>
      <c r="G14" s="20">
        <f t="shared" si="3"/>
        <v>0.70921985815602839</v>
      </c>
      <c r="H14" s="24">
        <v>1.41</v>
      </c>
      <c r="I14" s="22"/>
      <c r="J14" s="19" t="e">
        <f>B14*AA14*D14/100*1.28*0.2</f>
        <v>#DIV/0!</v>
      </c>
      <c r="K14" s="19" t="e">
        <f>B14/AB14/8*F14/5*1.04*2.1</f>
        <v>#DIV/0!</v>
      </c>
      <c r="L14" s="28" t="e">
        <f t="shared" si="1"/>
        <v>#DIV/0!</v>
      </c>
      <c r="M14" s="28"/>
      <c r="N14" s="51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4"/>
      <c r="AA14" s="34">
        <v>0.75909508475259357</v>
      </c>
      <c r="AB14" s="34">
        <v>0.67044244101493222</v>
      </c>
      <c r="AC14" s="34">
        <v>0.69439319880231065</v>
      </c>
      <c r="AD14" s="34">
        <v>0.38521043930777188</v>
      </c>
      <c r="AE14" s="34"/>
      <c r="AF14" s="34">
        <v>0.66</v>
      </c>
      <c r="AG14" s="34">
        <v>2.87</v>
      </c>
      <c r="AH14" s="34">
        <v>1.41</v>
      </c>
      <c r="AI14" s="34">
        <v>22.7</v>
      </c>
      <c r="AJ14" s="34">
        <v>1.41</v>
      </c>
      <c r="AK14" s="34">
        <v>2.94</v>
      </c>
      <c r="AL14" s="34"/>
      <c r="AM14" s="34"/>
      <c r="AN14" s="34"/>
      <c r="AO14" s="34"/>
      <c r="AP14" s="34"/>
      <c r="AQ14" s="34"/>
      <c r="AR14" s="34"/>
    </row>
    <row r="15" spans="1:44">
      <c r="A15" s="35" t="s">
        <v>41</v>
      </c>
      <c r="B15" s="36" t="e">
        <f t="shared" si="2"/>
        <v>#DIV/0!</v>
      </c>
      <c r="C15" s="36"/>
      <c r="D15" s="37">
        <v>1.08</v>
      </c>
      <c r="E15" s="20">
        <f t="shared" si="0"/>
        <v>0.92592592592592582</v>
      </c>
      <c r="F15" s="24">
        <v>2.14</v>
      </c>
      <c r="G15" s="20">
        <f t="shared" si="3"/>
        <v>0.4504504504504504</v>
      </c>
      <c r="H15" s="24">
        <v>2.2200000000000002</v>
      </c>
      <c r="I15" s="22"/>
      <c r="J15" s="19" t="e">
        <f>B15*AA15*D15/100*1.28</f>
        <v>#DIV/0!</v>
      </c>
      <c r="K15" s="19" t="e">
        <f>B15/AB15/8*F15/5*1.04</f>
        <v>#DIV/0!</v>
      </c>
      <c r="L15" s="28" t="e">
        <f t="shared" si="1"/>
        <v>#DIV/0!</v>
      </c>
      <c r="M15" s="28"/>
      <c r="N15" s="51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4"/>
      <c r="AA15" s="34">
        <v>0.65288648169819063</v>
      </c>
      <c r="AB15" s="34">
        <v>0.76201120503632769</v>
      </c>
      <c r="AC15" s="34">
        <v>0.22164938832827863</v>
      </c>
      <c r="AD15" s="34">
        <v>0.43656085848650228</v>
      </c>
      <c r="AE15" s="34"/>
      <c r="AF15" s="34">
        <v>1.08</v>
      </c>
      <c r="AG15" s="34">
        <v>2.14</v>
      </c>
      <c r="AH15" s="34">
        <v>2.2200000000000002</v>
      </c>
      <c r="AI15" s="34">
        <v>12.4</v>
      </c>
      <c r="AJ15" s="34">
        <v>2.2200000000000002</v>
      </c>
      <c r="AK15" s="34">
        <v>2.4300000000000002</v>
      </c>
      <c r="AL15" s="34"/>
      <c r="AM15" s="34"/>
      <c r="AN15" s="34"/>
      <c r="AO15" s="34"/>
      <c r="AP15" s="34"/>
      <c r="AQ15" s="34"/>
      <c r="AR15" s="34"/>
    </row>
    <row r="16" spans="1:44">
      <c r="A16" s="35" t="s">
        <v>42</v>
      </c>
      <c r="B16" s="36" t="e">
        <f t="shared" si="2"/>
        <v>#DIV/0!</v>
      </c>
      <c r="C16" s="36"/>
      <c r="D16" s="37">
        <v>1.2</v>
      </c>
      <c r="E16" s="20">
        <f t="shared" si="0"/>
        <v>0.83333333333333337</v>
      </c>
      <c r="F16" s="24">
        <v>3.39</v>
      </c>
      <c r="G16" s="20">
        <f t="shared" si="3"/>
        <v>0.92592592592592582</v>
      </c>
      <c r="H16" s="24">
        <v>1.08</v>
      </c>
      <c r="I16" s="22"/>
      <c r="J16" s="19" t="e">
        <f>B16*AA16*D16/100*1.28</f>
        <v>#DIV/0!</v>
      </c>
      <c r="K16" s="19" t="e">
        <f>B16/AB16/10*F16/12*1.04</f>
        <v>#DIV/0!</v>
      </c>
      <c r="L16" s="28" t="e">
        <f t="shared" si="1"/>
        <v>#DIV/0!</v>
      </c>
      <c r="M16" s="28"/>
      <c r="N16" s="51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4"/>
      <c r="AA16" s="34">
        <v>0.2705470560161567</v>
      </c>
      <c r="AB16" s="34">
        <v>0.22045931306674393</v>
      </c>
      <c r="AC16" s="34">
        <v>0.43631532779216042</v>
      </c>
      <c r="AD16" s="34">
        <v>4.6954777524075175E-2</v>
      </c>
      <c r="AE16" s="34"/>
      <c r="AF16" s="34">
        <v>1.2</v>
      </c>
      <c r="AG16" s="34">
        <v>3.39</v>
      </c>
      <c r="AH16" s="34">
        <v>1.08</v>
      </c>
      <c r="AI16" s="34">
        <v>6.2</v>
      </c>
      <c r="AJ16" s="34">
        <v>1.08</v>
      </c>
      <c r="AK16" s="34">
        <v>2.04</v>
      </c>
      <c r="AL16" s="34"/>
      <c r="AM16" s="34"/>
      <c r="AN16" s="34"/>
      <c r="AO16" s="34"/>
      <c r="AP16" s="34"/>
      <c r="AQ16" s="34"/>
      <c r="AR16" s="34"/>
    </row>
    <row r="17" spans="1:44">
      <c r="A17" s="35" t="s">
        <v>43</v>
      </c>
      <c r="B17" s="36" t="e">
        <f t="shared" si="2"/>
        <v>#DIV/0!</v>
      </c>
      <c r="C17" s="36"/>
      <c r="D17" s="40">
        <v>2.73</v>
      </c>
      <c r="E17" s="20">
        <f t="shared" si="0"/>
        <v>0.36630036630036628</v>
      </c>
      <c r="F17" s="26">
        <v>3.54</v>
      </c>
      <c r="G17" s="20">
        <f t="shared" si="3"/>
        <v>0.67567567567567566</v>
      </c>
      <c r="H17" s="26">
        <v>1.48</v>
      </c>
      <c r="I17" s="22"/>
      <c r="J17" s="19" t="e">
        <f>B17*AA17*D17/100*1.28*4.5</f>
        <v>#DIV/0!</v>
      </c>
      <c r="K17" s="19" t="e">
        <f>B17/AB17/10*F17/20*1.04</f>
        <v>#DIV/0!</v>
      </c>
      <c r="L17" s="28" t="e">
        <f>H17*B17/100</f>
        <v>#DIV/0!</v>
      </c>
      <c r="M17" s="28"/>
      <c r="N17" s="51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4"/>
      <c r="AA17" s="34">
        <v>0.79442754235433899</v>
      </c>
      <c r="AB17" s="34">
        <v>0.10554303757776939</v>
      </c>
      <c r="AC17" s="34">
        <v>0.97534837694599708</v>
      </c>
      <c r="AD17" s="34">
        <v>0.27082975785376784</v>
      </c>
      <c r="AE17" s="34"/>
      <c r="AF17" s="34">
        <v>2.73</v>
      </c>
      <c r="AG17" s="34">
        <v>3.54</v>
      </c>
      <c r="AH17" s="34">
        <v>1.48</v>
      </c>
      <c r="AI17" s="34">
        <v>6.8</v>
      </c>
      <c r="AJ17" s="34">
        <v>1.76</v>
      </c>
      <c r="AK17" s="34">
        <v>2.1800000000000002</v>
      </c>
      <c r="AL17" s="34"/>
      <c r="AM17" s="34"/>
      <c r="AN17" s="34"/>
      <c r="AO17" s="34"/>
      <c r="AP17" s="34"/>
      <c r="AQ17" s="34"/>
      <c r="AR17" s="34"/>
    </row>
    <row r="18" spans="1:44">
      <c r="B18" s="42"/>
      <c r="C18" s="42"/>
      <c r="D18" s="43"/>
      <c r="E18" s="21"/>
      <c r="F18" s="19"/>
      <c r="G18" s="19"/>
      <c r="H18" s="19"/>
      <c r="I18" s="22"/>
      <c r="Z18" s="34"/>
      <c r="AA18" s="34">
        <v>0.38172855680925577</v>
      </c>
      <c r="AB18" s="34">
        <v>0.93351798014903198</v>
      </c>
      <c r="AC18" s="34">
        <v>0.16228031967990197</v>
      </c>
      <c r="AD18" s="34">
        <v>0.15958058726891056</v>
      </c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</row>
    <row r="19" spans="1:44">
      <c r="B19" s="42"/>
      <c r="C19" s="42">
        <f>SUM(C2:C17)</f>
        <v>0</v>
      </c>
      <c r="D19" s="43"/>
      <c r="E19" s="21"/>
      <c r="F19" s="19"/>
      <c r="G19" s="19"/>
      <c r="H19" s="19"/>
      <c r="I19" s="22"/>
      <c r="Z19" s="34"/>
      <c r="AA19" s="34">
        <v>0.76854292032294769</v>
      </c>
      <c r="AB19" s="34">
        <v>0.48436768696630617</v>
      </c>
      <c r="AC19" s="34">
        <v>0.87758569173914813</v>
      </c>
      <c r="AD19" s="34">
        <v>0.95495278030902397</v>
      </c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</row>
    <row r="20" spans="1:44">
      <c r="B20" s="42"/>
      <c r="C20" s="42"/>
      <c r="D20" s="31"/>
      <c r="E20" s="19"/>
      <c r="F20" s="19"/>
      <c r="G20" s="19"/>
      <c r="H20" s="19"/>
      <c r="I20" s="19"/>
      <c r="Z20" s="34"/>
      <c r="AA20" s="34">
        <v>0.61607377704215238</v>
      </c>
      <c r="AB20" s="34">
        <v>0.41065990409589004</v>
      </c>
      <c r="AC20" s="34">
        <v>0.13528418193367742</v>
      </c>
      <c r="AD20" s="34">
        <v>0.14507627726536476</v>
      </c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</row>
    <row r="21" spans="1:44">
      <c r="B21" s="43"/>
      <c r="C21" s="43"/>
      <c r="D21" s="31"/>
      <c r="E21" s="19"/>
      <c r="F21" s="19"/>
      <c r="G21" s="19"/>
      <c r="H21" s="19"/>
      <c r="I21" s="19"/>
      <c r="Z21" s="34"/>
      <c r="AA21" s="34">
        <v>0.62216655090975692</v>
      </c>
      <c r="AB21" s="34">
        <v>0.76234819267498644</v>
      </c>
      <c r="AC21" s="34">
        <v>5.2128708581976047E-2</v>
      </c>
      <c r="AD21" s="34">
        <v>0.82198202391771491</v>
      </c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</row>
    <row r="22" spans="1:44">
      <c r="B22" s="43"/>
      <c r="C22" s="43"/>
      <c r="D22" s="31"/>
      <c r="E22" s="19"/>
      <c r="F22" s="19"/>
      <c r="G22" s="19"/>
      <c r="H22" s="19"/>
      <c r="I22" s="19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</row>
    <row r="23" spans="1:44">
      <c r="B23" s="43"/>
      <c r="C23" s="43"/>
      <c r="D23" s="31"/>
      <c r="E23" s="19"/>
      <c r="F23" s="19"/>
      <c r="G23" s="19"/>
      <c r="H23" s="19"/>
      <c r="I23" s="19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</row>
    <row r="24" spans="1:44">
      <c r="B24" s="43"/>
      <c r="C24" s="43"/>
      <c r="D24" s="31"/>
      <c r="E24" s="19"/>
      <c r="F24" s="19"/>
      <c r="G24" s="19"/>
      <c r="H24" s="21"/>
      <c r="I24" s="19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</row>
    <row r="25" spans="1:44">
      <c r="B25" s="43"/>
      <c r="C25" s="43"/>
      <c r="D25" s="31"/>
      <c r="E25" s="19"/>
      <c r="F25" s="19"/>
      <c r="G25" s="19"/>
      <c r="H25" s="21"/>
      <c r="I25" s="19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</row>
    <row r="26" spans="1:44">
      <c r="B26" s="42"/>
      <c r="C26" s="42"/>
      <c r="D26" s="31"/>
      <c r="E26" s="19"/>
      <c r="F26" s="19"/>
      <c r="G26" s="19"/>
      <c r="H26" s="23"/>
    </row>
    <row r="27" spans="1:44">
      <c r="B27" s="42"/>
      <c r="C27" s="42"/>
      <c r="D27" s="31"/>
      <c r="E27" s="19"/>
      <c r="F27" s="19"/>
      <c r="G27" s="19"/>
      <c r="H27" s="23"/>
    </row>
    <row r="28" spans="1:44">
      <c r="B28" s="42"/>
      <c r="C28" s="42"/>
      <c r="D28" s="31"/>
      <c r="E28" s="19"/>
      <c r="F28" s="19"/>
      <c r="G28" s="19"/>
      <c r="H28" s="23"/>
    </row>
    <row r="29" spans="1:44">
      <c r="B29" s="42"/>
      <c r="C29" s="42"/>
      <c r="D29" s="31"/>
      <c r="E29" s="19"/>
      <c r="F29" s="19"/>
      <c r="G29" s="19"/>
      <c r="H29" s="23"/>
    </row>
    <row r="30" spans="1:44">
      <c r="B30" s="42"/>
      <c r="C30" s="42"/>
      <c r="D30" s="31"/>
      <c r="E30" s="19"/>
      <c r="F30" s="19"/>
      <c r="G30" s="19"/>
      <c r="H30" s="23"/>
    </row>
    <row r="31" spans="1:44">
      <c r="B31" s="42"/>
      <c r="C31" s="42"/>
      <c r="D31" s="31"/>
      <c r="E31" s="19"/>
      <c r="F31" s="19"/>
      <c r="G31" s="19"/>
      <c r="H31" s="23"/>
    </row>
    <row r="32" spans="1:44">
      <c r="B32" s="42"/>
      <c r="C32" s="42"/>
      <c r="D32" s="31"/>
      <c r="E32" s="19"/>
      <c r="F32" s="19"/>
      <c r="G32" s="19"/>
      <c r="H32" s="23"/>
    </row>
    <row r="33" spans="2:8">
      <c r="B33" s="42"/>
      <c r="C33" s="42"/>
      <c r="D33" s="31"/>
      <c r="E33" s="19"/>
      <c r="F33" s="19"/>
      <c r="G33" s="19"/>
      <c r="H33" s="23"/>
    </row>
    <row r="34" spans="2:8">
      <c r="B34" s="42"/>
      <c r="C34" s="42"/>
      <c r="D34" s="31"/>
      <c r="E34" s="19"/>
      <c r="F34" s="19"/>
      <c r="G34" s="19"/>
      <c r="H34" s="23"/>
    </row>
    <row r="35" spans="2:8">
      <c r="B35" s="42"/>
      <c r="C35" s="42"/>
      <c r="D35" s="38"/>
      <c r="E35" s="22"/>
      <c r="F35" s="21"/>
      <c r="G35" s="21"/>
      <c r="H35" s="23"/>
    </row>
    <row r="36" spans="2:8">
      <c r="B36" s="42"/>
      <c r="C36" s="42"/>
      <c r="D36" s="38"/>
      <c r="E36" s="22"/>
      <c r="F36" s="21"/>
      <c r="G36" s="21"/>
      <c r="H36" s="23"/>
    </row>
    <row r="37" spans="2:8">
      <c r="B37" s="42"/>
      <c r="C37" s="42"/>
      <c r="D37" s="42"/>
      <c r="E37" s="23"/>
      <c r="F37" s="23"/>
      <c r="G37" s="23"/>
      <c r="H37" s="23"/>
    </row>
    <row r="38" spans="2:8">
      <c r="B38" s="42"/>
      <c r="C38" s="42"/>
      <c r="D38" s="42"/>
      <c r="E38" s="23"/>
      <c r="F38" s="23"/>
      <c r="G38" s="23"/>
      <c r="H38" s="23"/>
    </row>
    <row r="39" spans="2:8">
      <c r="B39" s="42"/>
      <c r="C39" s="42"/>
      <c r="D39" s="42"/>
      <c r="E39" s="23"/>
      <c r="F39" s="23"/>
      <c r="G39" s="23"/>
      <c r="H39" s="23"/>
    </row>
  </sheetData>
  <sheetProtection sheet="1" objects="1" scenario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T25"/>
  <sheetViews>
    <sheetView zoomScaleNormal="100" workbookViewId="0"/>
  </sheetViews>
  <sheetFormatPr defaultRowHeight="15"/>
  <cols>
    <col min="1" max="1" width="16" style="12" customWidth="1"/>
    <col min="2" max="2" width="5" style="12" hidden="1" customWidth="1"/>
    <col min="3" max="3" width="12.7109375" style="57" customWidth="1"/>
    <col min="4" max="4" width="12.7109375" style="12" hidden="1" customWidth="1"/>
    <col min="5" max="7" width="12.7109375" style="12" customWidth="1"/>
    <col min="8" max="8" width="11" style="12" hidden="1" customWidth="1"/>
    <col min="9" max="9" width="7.7109375" style="12" bestFit="1" customWidth="1"/>
    <col min="10" max="10" width="1.85546875" style="2" hidden="1" customWidth="1"/>
    <col min="11" max="11" width="12.28515625" hidden="1" customWidth="1"/>
    <col min="12" max="12" width="11" style="2" hidden="1" customWidth="1"/>
    <col min="13" max="13" width="12.28515625" style="2" hidden="1" customWidth="1"/>
    <col min="14" max="14" width="11" style="2" bestFit="1" customWidth="1"/>
    <col min="15" max="15" width="9.140625" style="49"/>
    <col min="16" max="29" width="9.140625" style="2"/>
    <col min="30" max="30" width="9" style="2" customWidth="1"/>
    <col min="31" max="37" width="9.140625" style="3"/>
    <col min="38" max="38" width="10.85546875" style="3" bestFit="1" customWidth="1"/>
    <col min="39" max="39" width="9.140625" style="3"/>
    <col min="40" max="40" width="8.85546875" style="3" bestFit="1" customWidth="1"/>
    <col min="41" max="46" width="9.140625" style="3"/>
    <col min="47" max="16384" width="9.140625" style="2"/>
  </cols>
  <sheetData>
    <row r="1" spans="1:42">
      <c r="A1" s="6" t="s">
        <v>0</v>
      </c>
      <c r="B1" s="7"/>
      <c r="C1" s="55" t="s">
        <v>19</v>
      </c>
      <c r="D1" s="2" t="s">
        <v>17</v>
      </c>
      <c r="E1" s="2" t="s">
        <v>28</v>
      </c>
      <c r="F1" s="2" t="s">
        <v>18</v>
      </c>
      <c r="G1" s="2" t="s">
        <v>29</v>
      </c>
      <c r="H1" s="2" t="s">
        <v>22</v>
      </c>
      <c r="I1" s="2" t="s">
        <v>44</v>
      </c>
      <c r="J1" s="8" t="s">
        <v>17</v>
      </c>
      <c r="K1" s="1" t="s">
        <v>18</v>
      </c>
      <c r="L1" s="8" t="s">
        <v>22</v>
      </c>
      <c r="M1" s="8" t="s">
        <v>24</v>
      </c>
      <c r="N1" s="9" t="s">
        <v>28</v>
      </c>
      <c r="O1" s="48" t="e">
        <f>1/SUM(J2:J17)*1</f>
        <v>#DIV/0!</v>
      </c>
      <c r="AC1" s="3"/>
      <c r="AD1" s="3"/>
      <c r="AK1" s="3" t="s">
        <v>17</v>
      </c>
      <c r="AL1" s="3" t="s">
        <v>18</v>
      </c>
      <c r="AM1" s="3" t="s">
        <v>22</v>
      </c>
    </row>
    <row r="2" spans="1:42">
      <c r="A2" s="35" t="s">
        <v>26</v>
      </c>
      <c r="B2" s="36" t="e">
        <f>C2/SUM(C$2:C$17)*100</f>
        <v>#DIV/0!</v>
      </c>
      <c r="C2" s="56">
        <f>'Round 1'!C2</f>
        <v>0</v>
      </c>
      <c r="D2" s="4">
        <v>0.79</v>
      </c>
      <c r="E2" s="47">
        <f>1/D2</f>
        <v>1.2658227848101264</v>
      </c>
      <c r="F2" s="4">
        <v>1.74</v>
      </c>
      <c r="G2" s="4">
        <f>1/H2</f>
        <v>0.5376344086021505</v>
      </c>
      <c r="H2" s="4">
        <v>1.86</v>
      </c>
      <c r="I2" s="2">
        <v>0.13400000000000001</v>
      </c>
      <c r="J2" t="e">
        <f>B2*AE2*D2/100*1.28*2</f>
        <v>#DIV/0!</v>
      </c>
      <c r="K2" t="e">
        <f>B2/AF2/10*F2/4*1.04*0.9</f>
        <v>#DIV/0!</v>
      </c>
      <c r="L2" s="2" t="e">
        <f>H2*B2/100</f>
        <v>#DIV/0!</v>
      </c>
      <c r="M2" s="2">
        <f>I2*AI2*C2*1.3</f>
        <v>0</v>
      </c>
      <c r="N2" s="9" t="s">
        <v>18</v>
      </c>
      <c r="O2" s="48" t="e">
        <f>SUM(K2:K17)/4</f>
        <v>#DIV/0!</v>
      </c>
      <c r="AC2" s="3"/>
      <c r="AD2" s="3"/>
      <c r="AE2" s="3">
        <v>0.79762976067302671</v>
      </c>
      <c r="AF2" s="3">
        <v>0.80376522802682704</v>
      </c>
      <c r="AG2" s="3">
        <v>0.937281295476878</v>
      </c>
      <c r="AH2" s="3">
        <f ca="1">RAND()</f>
        <v>0.62531605623594633</v>
      </c>
      <c r="AI2" s="3">
        <v>0.54607464453801857</v>
      </c>
      <c r="AJ2" s="3">
        <v>0.13400000000000001</v>
      </c>
      <c r="AK2" s="3">
        <v>0.79</v>
      </c>
      <c r="AL2" s="3">
        <v>1.74</v>
      </c>
      <c r="AM2" s="3">
        <v>1.86</v>
      </c>
      <c r="AN2" s="3">
        <v>14.6</v>
      </c>
      <c r="AO2" s="3">
        <v>1.86</v>
      </c>
      <c r="AP2" s="3">
        <v>2.58</v>
      </c>
    </row>
    <row r="3" spans="1:42">
      <c r="A3" s="35" t="s">
        <v>27</v>
      </c>
      <c r="B3" s="36" t="e">
        <f t="shared" ref="B3:B17" si="0">C3/SUM(C$2:C$17)*100</f>
        <v>#DIV/0!</v>
      </c>
      <c r="C3" s="56">
        <f>'Round 1'!C3</f>
        <v>0</v>
      </c>
      <c r="D3" s="4">
        <v>0.59</v>
      </c>
      <c r="E3" s="47">
        <f t="shared" ref="E3:E17" si="1">1/D3</f>
        <v>1.6949152542372883</v>
      </c>
      <c r="F3" s="4">
        <v>1.42</v>
      </c>
      <c r="G3" s="4">
        <f t="shared" ref="G3:G17" si="2">1/H3</f>
        <v>0.53191489361702127</v>
      </c>
      <c r="H3" s="4">
        <v>1.88</v>
      </c>
      <c r="I3" s="2">
        <v>0.159</v>
      </c>
      <c r="J3" t="e">
        <f>B3*AE3*D3/20*0.6</f>
        <v>#DIV/0!</v>
      </c>
      <c r="K3" t="e">
        <f>B3/AF3/10*F3/8*1.04*1.3</f>
        <v>#DIV/0!</v>
      </c>
      <c r="L3" s="2" t="e">
        <f t="shared" ref="L3:L17" si="3">H3*B3/100</f>
        <v>#DIV/0!</v>
      </c>
      <c r="M3" s="2">
        <f>I3*AI3*C3</f>
        <v>0</v>
      </c>
      <c r="N3" s="9" t="s">
        <v>29</v>
      </c>
      <c r="O3" s="48" t="e">
        <f>1/SUM(L2:L17)</f>
        <v>#DIV/0!</v>
      </c>
      <c r="AC3" s="3"/>
      <c r="AD3" s="3"/>
      <c r="AE3" s="3">
        <v>0.18330422911708744</v>
      </c>
      <c r="AF3" s="3">
        <v>0.28556923517985577</v>
      </c>
      <c r="AG3" s="3">
        <v>0.88491703377948905</v>
      </c>
      <c r="AH3" s="3">
        <f t="shared" ref="AH3:AH21" ca="1" si="4">RAND()</f>
        <v>0.96258995797994951</v>
      </c>
      <c r="AI3" s="3">
        <v>0.22002395666361629</v>
      </c>
      <c r="AJ3" s="3">
        <v>0.159</v>
      </c>
      <c r="AK3" s="3">
        <v>0.59</v>
      </c>
      <c r="AL3" s="3">
        <v>1.42</v>
      </c>
      <c r="AM3" s="3">
        <v>1.88</v>
      </c>
      <c r="AN3" s="3">
        <v>7.84</v>
      </c>
      <c r="AO3" s="3">
        <v>1.88</v>
      </c>
      <c r="AP3" s="3">
        <v>1.88</v>
      </c>
    </row>
    <row r="4" spans="1:42">
      <c r="A4" s="35" t="s">
        <v>30</v>
      </c>
      <c r="B4" s="36" t="e">
        <f t="shared" si="0"/>
        <v>#DIV/0!</v>
      </c>
      <c r="C4" s="56">
        <f>'Round 1'!C4</f>
        <v>0</v>
      </c>
      <c r="D4" s="4">
        <v>0.76</v>
      </c>
      <c r="E4" s="47">
        <f t="shared" si="1"/>
        <v>1.3157894736842106</v>
      </c>
      <c r="F4" s="4">
        <v>1.52</v>
      </c>
      <c r="G4" s="4">
        <f t="shared" si="2"/>
        <v>0.58823529411764708</v>
      </c>
      <c r="H4" s="4">
        <v>1.7</v>
      </c>
      <c r="I4" s="2">
        <v>0.25800000000000001</v>
      </c>
      <c r="J4" t="e">
        <f>B4*AE4*D4/100*1.28*1.3</f>
        <v>#DIV/0!</v>
      </c>
      <c r="K4" t="e">
        <f>B4/AF4/10*F4/8*1.04*3.4</f>
        <v>#DIV/0!</v>
      </c>
      <c r="L4" s="2" t="e">
        <f t="shared" si="3"/>
        <v>#DIV/0!</v>
      </c>
      <c r="M4" s="2">
        <f>I4*AI4*C4*0.8</f>
        <v>0</v>
      </c>
      <c r="N4" s="9" t="s">
        <v>44</v>
      </c>
      <c r="O4" s="48">
        <f>SUM(M2:M17)/25</f>
        <v>0</v>
      </c>
      <c r="AC4" s="3"/>
      <c r="AD4" s="3"/>
      <c r="AE4" s="3">
        <v>0.51663111024587116</v>
      </c>
      <c r="AF4" s="3">
        <v>0.73915125207478294</v>
      </c>
      <c r="AG4" s="3">
        <v>0.91428476730036323</v>
      </c>
      <c r="AH4" s="3">
        <f t="shared" ca="1" si="4"/>
        <v>0.74069484547183562</v>
      </c>
      <c r="AI4" s="3">
        <v>0.80658108838317344</v>
      </c>
      <c r="AJ4" s="3">
        <v>0.25800000000000001</v>
      </c>
      <c r="AK4" s="3">
        <v>0.76</v>
      </c>
      <c r="AL4" s="3">
        <v>1.52</v>
      </c>
      <c r="AM4" s="3">
        <v>1.7</v>
      </c>
      <c r="AN4" s="3">
        <v>17.899999999999999</v>
      </c>
      <c r="AO4" s="3">
        <v>1.7</v>
      </c>
      <c r="AP4" s="3">
        <v>2.8250000000000002</v>
      </c>
    </row>
    <row r="5" spans="1:42">
      <c r="A5" s="35" t="s">
        <v>31</v>
      </c>
      <c r="B5" s="36" t="e">
        <f t="shared" si="0"/>
        <v>#DIV/0!</v>
      </c>
      <c r="C5" s="56">
        <f>'Round 1'!C5</f>
        <v>0</v>
      </c>
      <c r="D5" s="4">
        <v>0.75</v>
      </c>
      <c r="E5" s="47">
        <f t="shared" si="1"/>
        <v>1.3333333333333333</v>
      </c>
      <c r="F5" s="4">
        <v>2.2000000000000002</v>
      </c>
      <c r="G5" s="4">
        <f t="shared" si="2"/>
        <v>0.50505050505050508</v>
      </c>
      <c r="H5" s="4">
        <v>1.98</v>
      </c>
      <c r="I5" s="2">
        <v>0.28999999999999998</v>
      </c>
      <c r="J5" t="e">
        <f>B5*AE5*D5/100*20.28</f>
        <v>#DIV/0!</v>
      </c>
      <c r="K5" t="e">
        <f>B5/AF5/10*F5/8*1.04*1.2</f>
        <v>#DIV/0!</v>
      </c>
      <c r="L5" s="2" t="e">
        <f t="shared" si="3"/>
        <v>#DIV/0!</v>
      </c>
      <c r="M5" s="2">
        <f>I5*AI5*C5</f>
        <v>0</v>
      </c>
      <c r="AC5" s="3"/>
      <c r="AD5" s="3"/>
      <c r="AE5" s="3">
        <v>1.4709164548914799E-2</v>
      </c>
      <c r="AF5" s="3">
        <v>0.53983699681732378</v>
      </c>
      <c r="AG5" s="3">
        <v>0.80917961249928694</v>
      </c>
      <c r="AH5" s="3">
        <f t="shared" ca="1" si="4"/>
        <v>0.4400021417475557</v>
      </c>
      <c r="AI5" s="3">
        <v>0.9491101103492845</v>
      </c>
      <c r="AJ5" s="3">
        <v>0.28999999999999998</v>
      </c>
      <c r="AK5" s="3">
        <v>1.94</v>
      </c>
      <c r="AL5" s="3">
        <v>2.2000000000000002</v>
      </c>
      <c r="AM5" s="3">
        <v>1.98</v>
      </c>
      <c r="AN5" s="3">
        <v>5.53</v>
      </c>
      <c r="AO5" s="3">
        <v>1.98</v>
      </c>
      <c r="AP5" s="3">
        <v>1.42</v>
      </c>
    </row>
    <row r="6" spans="1:42">
      <c r="A6" s="35" t="s">
        <v>32</v>
      </c>
      <c r="B6" s="36" t="e">
        <f t="shared" si="0"/>
        <v>#DIV/0!</v>
      </c>
      <c r="C6" s="56">
        <f>'Round 1'!C6</f>
        <v>0</v>
      </c>
      <c r="D6" s="4">
        <v>0.99</v>
      </c>
      <c r="E6" s="47">
        <f t="shared" si="1"/>
        <v>1.0101010101010102</v>
      </c>
      <c r="F6" s="4">
        <v>2.29</v>
      </c>
      <c r="G6" s="4">
        <f t="shared" si="2"/>
        <v>0.5988023952095809</v>
      </c>
      <c r="H6" s="4">
        <v>1.67</v>
      </c>
      <c r="I6" s="2">
        <v>0.34100000000000003</v>
      </c>
      <c r="J6" t="e">
        <f>B6*AE6*D6/100*1.28</f>
        <v>#DIV/0!</v>
      </c>
      <c r="K6" t="e">
        <f>B6/AF6/10*F6/5*1.04*2.4</f>
        <v>#DIV/0!</v>
      </c>
      <c r="L6" s="2" t="e">
        <f t="shared" si="3"/>
        <v>#DIV/0!</v>
      </c>
      <c r="M6" s="2">
        <f>I6*AI6*C6*0.6</f>
        <v>0</v>
      </c>
      <c r="AC6" s="3"/>
      <c r="AD6" s="3"/>
      <c r="AE6" s="3">
        <v>0.78280086074861399</v>
      </c>
      <c r="AF6" s="3">
        <v>0.56765551766173827</v>
      </c>
      <c r="AG6" s="3">
        <v>0.37994185174173789</v>
      </c>
      <c r="AH6" s="3">
        <f t="shared" ca="1" si="4"/>
        <v>0.56999630046550886</v>
      </c>
      <c r="AI6" s="3">
        <v>3.9965558157044501E-2</v>
      </c>
      <c r="AJ6" s="3">
        <v>0.34100000000000003</v>
      </c>
      <c r="AK6" s="3">
        <v>0.99</v>
      </c>
      <c r="AL6" s="3">
        <v>2.29</v>
      </c>
      <c r="AM6" s="3">
        <v>1.67</v>
      </c>
      <c r="AN6" s="3">
        <v>8.4</v>
      </c>
      <c r="AO6" s="3">
        <v>1.67</v>
      </c>
      <c r="AP6" s="3">
        <v>2.11</v>
      </c>
    </row>
    <row r="7" spans="1:42">
      <c r="A7" s="35" t="s">
        <v>33</v>
      </c>
      <c r="B7" s="36" t="e">
        <f t="shared" si="0"/>
        <v>#DIV/0!</v>
      </c>
      <c r="C7" s="56">
        <f>'Round 1'!C7</f>
        <v>0</v>
      </c>
      <c r="D7" s="4">
        <v>1.66</v>
      </c>
      <c r="E7" s="47">
        <f t="shared" si="1"/>
        <v>0.60240963855421692</v>
      </c>
      <c r="F7" s="4">
        <v>2.4900000000000002</v>
      </c>
      <c r="G7" s="4">
        <f t="shared" si="2"/>
        <v>0.6097560975609756</v>
      </c>
      <c r="H7" s="4">
        <v>1.64</v>
      </c>
      <c r="I7" s="2">
        <v>0.35099999999999998</v>
      </c>
      <c r="J7" t="e">
        <f>B7*AE7*D7/100*1.28*3.1</f>
        <v>#DIV/0!</v>
      </c>
      <c r="K7" t="e">
        <f>B7/AF7/10*F7/5*1.04</f>
        <v>#DIV/0!</v>
      </c>
      <c r="L7" s="2" t="e">
        <f t="shared" si="3"/>
        <v>#DIV/0!</v>
      </c>
      <c r="M7" s="2">
        <f>I7*AI7*C7</f>
        <v>0</v>
      </c>
      <c r="AC7" s="3"/>
      <c r="AD7" s="3"/>
      <c r="AE7" s="3">
        <v>0.47337998806654591</v>
      </c>
      <c r="AF7" s="3">
        <v>0.83996804947202452</v>
      </c>
      <c r="AG7" s="3">
        <v>4.2148410418779481E-2</v>
      </c>
      <c r="AH7" s="3">
        <f t="shared" ca="1" si="4"/>
        <v>0.4330003410998664</v>
      </c>
      <c r="AI7" s="3">
        <v>8.144711427589546E-3</v>
      </c>
      <c r="AJ7" s="3">
        <v>0.35099999999999998</v>
      </c>
      <c r="AK7" s="3">
        <v>1.66</v>
      </c>
      <c r="AL7" s="3">
        <v>2.4900000000000002</v>
      </c>
      <c r="AM7" s="3">
        <v>1.64</v>
      </c>
      <c r="AN7" s="3">
        <v>6.8</v>
      </c>
      <c r="AO7" s="3">
        <v>1.64</v>
      </c>
      <c r="AP7" s="3">
        <v>1.675</v>
      </c>
    </row>
    <row r="8" spans="1:42">
      <c r="A8" s="35" t="s">
        <v>34</v>
      </c>
      <c r="B8" s="36" t="e">
        <f t="shared" si="0"/>
        <v>#DIV/0!</v>
      </c>
      <c r="C8" s="56">
        <f>'Round 1'!C8</f>
        <v>0</v>
      </c>
      <c r="D8" s="4">
        <v>0.89</v>
      </c>
      <c r="E8" s="47">
        <f t="shared" si="1"/>
        <v>1.1235955056179776</v>
      </c>
      <c r="F8" s="4">
        <v>2.5099999999999998</v>
      </c>
      <c r="G8" s="4">
        <f t="shared" si="2"/>
        <v>0.5</v>
      </c>
      <c r="H8" s="4">
        <v>2</v>
      </c>
      <c r="I8" s="2">
        <v>0.41</v>
      </c>
      <c r="J8" t="e">
        <f>B8*AE8*D8/100*1.28</f>
        <v>#DIV/0!</v>
      </c>
      <c r="K8" t="e">
        <f>B8/AF8/10*F8/5*1.04*1.5</f>
        <v>#DIV/0!</v>
      </c>
      <c r="L8" s="2" t="e">
        <f t="shared" si="3"/>
        <v>#DIV/0!</v>
      </c>
      <c r="M8" s="2">
        <f>I8*AI8*C8*1.9</f>
        <v>0</v>
      </c>
      <c r="AC8" s="3"/>
      <c r="AD8" s="3"/>
      <c r="AE8" s="3">
        <v>0.68734325399476071</v>
      </c>
      <c r="AF8" s="3">
        <v>0.34258744928602036</v>
      </c>
      <c r="AG8" s="3">
        <v>0.96627642460608265</v>
      </c>
      <c r="AH8" s="3">
        <f t="shared" ca="1" si="4"/>
        <v>0.57313418419580575</v>
      </c>
      <c r="AI8" s="3">
        <v>0.38544264767149883</v>
      </c>
      <c r="AJ8" s="3">
        <v>0.41</v>
      </c>
      <c r="AK8" s="3">
        <v>0.89</v>
      </c>
      <c r="AL8" s="3">
        <v>2.5099999999999998</v>
      </c>
      <c r="AM8" s="3">
        <v>2</v>
      </c>
      <c r="AN8" s="3">
        <v>11.6</v>
      </c>
      <c r="AO8" s="3">
        <v>2</v>
      </c>
      <c r="AP8" s="3">
        <v>2.44</v>
      </c>
    </row>
    <row r="9" spans="1:42">
      <c r="A9" s="35" t="s">
        <v>35</v>
      </c>
      <c r="B9" s="36" t="e">
        <f t="shared" si="0"/>
        <v>#DIV/0!</v>
      </c>
      <c r="C9" s="56">
        <f>'Round 1'!C9</f>
        <v>0</v>
      </c>
      <c r="D9" s="5">
        <v>0.70250000000000001</v>
      </c>
      <c r="E9" s="47">
        <f t="shared" si="1"/>
        <v>1.4234875444839858</v>
      </c>
      <c r="F9" s="5">
        <v>2.6019999999999999</v>
      </c>
      <c r="G9" s="4">
        <f t="shared" si="2"/>
        <v>0.90909090909090906</v>
      </c>
      <c r="H9" s="5">
        <v>1.1000000000000001</v>
      </c>
      <c r="I9" s="2">
        <v>0.438</v>
      </c>
      <c r="J9" t="e">
        <f>B9*AE9*D9/100*1.28*2.3</f>
        <v>#DIV/0!</v>
      </c>
      <c r="K9" t="e">
        <f>B9/AF9/8*F9/5/3*0.3</f>
        <v>#DIV/0!</v>
      </c>
      <c r="L9" s="2" t="e">
        <f t="shared" si="3"/>
        <v>#DIV/0!</v>
      </c>
      <c r="M9" s="2">
        <f>I9*AI9*C9</f>
        <v>0</v>
      </c>
      <c r="AC9" s="3"/>
      <c r="AD9" s="3"/>
      <c r="AE9" s="3">
        <v>0.53177485412963743</v>
      </c>
      <c r="AF9" s="3">
        <v>0.2105740678453718</v>
      </c>
      <c r="AG9" s="3">
        <v>0.61134969247912307</v>
      </c>
      <c r="AH9" s="3">
        <f t="shared" ca="1" si="4"/>
        <v>0.78518849078392283</v>
      </c>
      <c r="AI9" s="3">
        <v>0.32626795813552256</v>
      </c>
      <c r="AJ9" s="3">
        <v>0.438</v>
      </c>
      <c r="AK9" s="3">
        <v>0.70250000000000001</v>
      </c>
      <c r="AL9" s="3">
        <v>2.6019999999999999</v>
      </c>
      <c r="AM9" s="3">
        <v>1.1000000000000001</v>
      </c>
      <c r="AN9" s="3">
        <v>29.6</v>
      </c>
      <c r="AO9" s="3">
        <v>1.1000000000000001</v>
      </c>
      <c r="AP9" s="3">
        <v>4.5</v>
      </c>
    </row>
    <row r="10" spans="1:42">
      <c r="A10" s="35" t="s">
        <v>36</v>
      </c>
      <c r="B10" s="36" t="e">
        <f t="shared" si="0"/>
        <v>#DIV/0!</v>
      </c>
      <c r="C10" s="56">
        <f>'Round 1'!C10</f>
        <v>0</v>
      </c>
      <c r="D10" s="4">
        <v>2.08</v>
      </c>
      <c r="E10" s="47">
        <f t="shared" si="1"/>
        <v>0.48076923076923073</v>
      </c>
      <c r="F10" s="4">
        <v>3.29</v>
      </c>
      <c r="G10" s="4">
        <f t="shared" si="2"/>
        <v>0.46728971962616822</v>
      </c>
      <c r="H10" s="4">
        <v>2.14</v>
      </c>
      <c r="I10" s="2">
        <v>0.51200000000000001</v>
      </c>
      <c r="J10" t="e">
        <f>B10*AE10*D10/100*1.28*3.4</f>
        <v>#DIV/0!</v>
      </c>
      <c r="K10" t="e">
        <f>B10/AF10/8*F10/5/4</f>
        <v>#DIV/0!</v>
      </c>
      <c r="L10" s="2" t="e">
        <f t="shared" si="3"/>
        <v>#DIV/0!</v>
      </c>
      <c r="M10" s="2">
        <f>I10*AI10*C10*2.1</f>
        <v>0</v>
      </c>
      <c r="AC10" s="3"/>
      <c r="AD10" s="3"/>
      <c r="AE10" s="3">
        <v>0.99190360178737658</v>
      </c>
      <c r="AF10" s="3">
        <v>0.16176529859320365</v>
      </c>
      <c r="AG10" s="3">
        <v>0.3430079391135451</v>
      </c>
      <c r="AH10" s="3">
        <f t="shared" ca="1" si="4"/>
        <v>0.81689254381866405</v>
      </c>
      <c r="AI10" s="3">
        <v>0.12598563177304378</v>
      </c>
      <c r="AJ10" s="3">
        <v>0.51200000000000001</v>
      </c>
      <c r="AK10" s="3">
        <v>2.08</v>
      </c>
      <c r="AL10" s="3">
        <v>3.29</v>
      </c>
      <c r="AM10" s="3">
        <v>2.14</v>
      </c>
      <c r="AN10" s="3">
        <v>6.6</v>
      </c>
      <c r="AO10" s="3">
        <v>2.14</v>
      </c>
      <c r="AP10" s="3">
        <v>1.7649999999999999</v>
      </c>
    </row>
    <row r="11" spans="1:42">
      <c r="A11" s="35" t="s">
        <v>37</v>
      </c>
      <c r="B11" s="36" t="e">
        <f t="shared" si="0"/>
        <v>#DIV/0!</v>
      </c>
      <c r="C11" s="56">
        <f>'Round 1'!C11</f>
        <v>0</v>
      </c>
      <c r="D11" s="4">
        <v>1.6</v>
      </c>
      <c r="E11" s="47">
        <f t="shared" si="1"/>
        <v>0.625</v>
      </c>
      <c r="F11" s="4">
        <v>2.81</v>
      </c>
      <c r="G11" s="4">
        <f t="shared" si="2"/>
        <v>0.61349693251533743</v>
      </c>
      <c r="H11" s="4">
        <v>1.63</v>
      </c>
      <c r="I11" s="2">
        <v>0.57999999999999996</v>
      </c>
      <c r="J11" t="e">
        <f>B11*AE11*D11/100*1.28*1.3</f>
        <v>#DIV/0!</v>
      </c>
      <c r="K11" t="e">
        <f>B11/AF11/8*F11/5*1.04</f>
        <v>#DIV/0!</v>
      </c>
      <c r="L11" s="2" t="e">
        <f t="shared" si="3"/>
        <v>#DIV/0!</v>
      </c>
      <c r="M11" s="2">
        <f>I11*AI11*C11</f>
        <v>0</v>
      </c>
      <c r="AC11" s="3"/>
      <c r="AD11" s="3"/>
      <c r="AE11" s="3">
        <v>0.47172165553372836</v>
      </c>
      <c r="AF11" s="3">
        <v>0.99867143702185701</v>
      </c>
      <c r="AG11" s="3">
        <v>0.62957460635646523</v>
      </c>
      <c r="AH11" s="3">
        <f t="shared" ca="1" si="4"/>
        <v>0.40793834255908967</v>
      </c>
      <c r="AI11" s="3">
        <v>0.27519802432009166</v>
      </c>
      <c r="AJ11" s="3">
        <v>0.57999999999999996</v>
      </c>
      <c r="AK11" s="3">
        <v>1.6</v>
      </c>
      <c r="AL11" s="3">
        <v>2.81</v>
      </c>
      <c r="AM11" s="3">
        <v>1.63</v>
      </c>
      <c r="AN11" s="3">
        <v>10.199999999999999</v>
      </c>
      <c r="AO11" s="3">
        <v>1.63</v>
      </c>
      <c r="AP11" s="3">
        <v>2.0499999999999998</v>
      </c>
    </row>
    <row r="12" spans="1:42">
      <c r="A12" s="35" t="s">
        <v>38</v>
      </c>
      <c r="B12" s="36" t="e">
        <f t="shared" si="0"/>
        <v>#DIV/0!</v>
      </c>
      <c r="C12" s="56">
        <f>'Round 1'!C12</f>
        <v>0</v>
      </c>
      <c r="D12" s="4">
        <v>2.04</v>
      </c>
      <c r="E12" s="47">
        <f t="shared" si="1"/>
        <v>0.49019607843137253</v>
      </c>
      <c r="F12" s="4">
        <v>2.82</v>
      </c>
      <c r="G12" s="4">
        <f t="shared" si="2"/>
        <v>0.46728971962616822</v>
      </c>
      <c r="H12" s="4">
        <v>2.14</v>
      </c>
      <c r="I12" s="2">
        <v>0.61299999999999999</v>
      </c>
      <c r="J12" t="e">
        <f>B12*AE12*D12/100*1.28*2.3</f>
        <v>#DIV/0!</v>
      </c>
      <c r="K12" t="e">
        <f>B12/AF12/8*F12/5*1.04*1.8</f>
        <v>#DIV/0!</v>
      </c>
      <c r="L12" s="2" t="e">
        <f t="shared" si="3"/>
        <v>#DIV/0!</v>
      </c>
      <c r="M12" s="2">
        <f>I12*AI12*C12</f>
        <v>0</v>
      </c>
      <c r="AC12" s="3"/>
      <c r="AD12" s="3"/>
      <c r="AE12" s="3">
        <v>0.75545449784389118</v>
      </c>
      <c r="AF12" s="3">
        <v>0.41897088375706848</v>
      </c>
      <c r="AG12" s="3">
        <v>0.13727688412027417</v>
      </c>
      <c r="AH12" s="3">
        <f t="shared" ca="1" si="4"/>
        <v>0.4096056864052422</v>
      </c>
      <c r="AI12" s="3">
        <v>0.73084731936545799</v>
      </c>
      <c r="AJ12" s="3">
        <v>0.61299999999999999</v>
      </c>
      <c r="AK12" s="3">
        <v>2.04</v>
      </c>
      <c r="AL12" s="3">
        <v>2.82</v>
      </c>
      <c r="AM12" s="3">
        <v>2.14</v>
      </c>
      <c r="AN12" s="3">
        <v>7.4</v>
      </c>
      <c r="AO12" s="3">
        <v>2.14</v>
      </c>
      <c r="AP12" s="3">
        <v>1.9970000000000001</v>
      </c>
    </row>
    <row r="13" spans="1:42">
      <c r="A13" s="35" t="s">
        <v>39</v>
      </c>
      <c r="B13" s="36" t="e">
        <f t="shared" si="0"/>
        <v>#DIV/0!</v>
      </c>
      <c r="C13" s="56">
        <f>'Round 1'!C13</f>
        <v>0</v>
      </c>
      <c r="D13" s="4">
        <v>0.70499999999999996</v>
      </c>
      <c r="E13" s="47">
        <f t="shared" si="1"/>
        <v>1.4184397163120568</v>
      </c>
      <c r="F13" s="4">
        <v>2.87</v>
      </c>
      <c r="G13" s="4">
        <f t="shared" si="2"/>
        <v>0.7407407407407407</v>
      </c>
      <c r="H13" s="4">
        <v>1.35</v>
      </c>
      <c r="I13" s="2">
        <v>0.71499999999999997</v>
      </c>
      <c r="J13" t="e">
        <f>B13*AE13*D13/100*1.28</f>
        <v>#DIV/0!</v>
      </c>
      <c r="K13" t="e">
        <f>B13/AF13/8*F13/5*1.04</f>
        <v>#DIV/0!</v>
      </c>
      <c r="L13" s="2" t="e">
        <f t="shared" si="3"/>
        <v>#DIV/0!</v>
      </c>
      <c r="M13" s="2">
        <f>I13*AI13*C13*2.3</f>
        <v>0</v>
      </c>
      <c r="AC13" s="3"/>
      <c r="AD13" s="3"/>
      <c r="AE13" s="3">
        <v>0.63102645033157168</v>
      </c>
      <c r="AF13" s="3">
        <v>0.97250317147316911</v>
      </c>
      <c r="AG13" s="3">
        <v>0.44471231270606293</v>
      </c>
      <c r="AH13" s="3">
        <f t="shared" ca="1" si="4"/>
        <v>0.9494088034974717</v>
      </c>
      <c r="AI13" s="3">
        <v>0.24193335739961996</v>
      </c>
      <c r="AJ13" s="3">
        <v>0.71499999999999997</v>
      </c>
      <c r="AK13" s="3">
        <v>0.70499999999999996</v>
      </c>
      <c r="AL13" s="3">
        <v>2.87</v>
      </c>
      <c r="AM13" s="3">
        <v>1.35</v>
      </c>
      <c r="AN13" s="3">
        <v>31.1</v>
      </c>
      <c r="AO13" s="3">
        <v>1.35</v>
      </c>
      <c r="AP13" s="3">
        <v>3.08</v>
      </c>
    </row>
    <row r="14" spans="1:42">
      <c r="A14" s="35" t="s">
        <v>40</v>
      </c>
      <c r="B14" s="36" t="e">
        <f t="shared" si="0"/>
        <v>#DIV/0!</v>
      </c>
      <c r="C14" s="56">
        <f>'Round 1'!C14</f>
        <v>0</v>
      </c>
      <c r="D14" s="4">
        <v>0.66</v>
      </c>
      <c r="E14" s="47">
        <f t="shared" si="1"/>
        <v>1.5151515151515151</v>
      </c>
      <c r="F14" s="4">
        <v>2.87</v>
      </c>
      <c r="G14" s="4">
        <f t="shared" si="2"/>
        <v>0.70921985815602839</v>
      </c>
      <c r="H14" s="4">
        <v>1.41</v>
      </c>
      <c r="I14" s="2">
        <v>0.84299999999999997</v>
      </c>
      <c r="J14" t="e">
        <f>B14*AE14*D14/100*1.28*0.2</f>
        <v>#DIV/0!</v>
      </c>
      <c r="K14" t="e">
        <f>B14/AF14/8*F14/5*1.04*2.1</f>
        <v>#DIV/0!</v>
      </c>
      <c r="L14" s="2" t="e">
        <f t="shared" si="3"/>
        <v>#DIV/0!</v>
      </c>
      <c r="M14" s="2">
        <f>I14*AI14*C14</f>
        <v>0</v>
      </c>
      <c r="AC14" s="3"/>
      <c r="AD14" s="3"/>
      <c r="AE14" s="3">
        <v>0.75909508475259357</v>
      </c>
      <c r="AF14" s="3">
        <v>0.67044244101493222</v>
      </c>
      <c r="AG14" s="3">
        <v>0.69439319880231065</v>
      </c>
      <c r="AH14" s="3">
        <f t="shared" ca="1" si="4"/>
        <v>0.99240554419622873</v>
      </c>
      <c r="AI14" s="3">
        <v>0.38521043930777188</v>
      </c>
      <c r="AJ14" s="3">
        <v>0.84299999999999997</v>
      </c>
      <c r="AK14" s="3">
        <v>0.66</v>
      </c>
      <c r="AL14" s="3">
        <v>2.87</v>
      </c>
      <c r="AM14" s="3">
        <v>1.41</v>
      </c>
      <c r="AN14" s="3">
        <v>22.7</v>
      </c>
      <c r="AO14" s="3">
        <v>1.41</v>
      </c>
      <c r="AP14" s="3">
        <v>2.94</v>
      </c>
    </row>
    <row r="15" spans="1:42">
      <c r="A15" s="35" t="s">
        <v>41</v>
      </c>
      <c r="B15" s="36" t="e">
        <f t="shared" si="0"/>
        <v>#DIV/0!</v>
      </c>
      <c r="C15" s="56">
        <f>'Round 1'!C15</f>
        <v>0</v>
      </c>
      <c r="D15" s="4">
        <v>1.08</v>
      </c>
      <c r="E15" s="47">
        <f t="shared" si="1"/>
        <v>0.92592592592592582</v>
      </c>
      <c r="F15" s="4">
        <v>2.14</v>
      </c>
      <c r="G15" s="4">
        <f t="shared" si="2"/>
        <v>0.4504504504504504</v>
      </c>
      <c r="H15" s="4">
        <v>2.2200000000000002</v>
      </c>
      <c r="I15" s="2">
        <v>0.91300000000000003</v>
      </c>
      <c r="J15" t="e">
        <f>B15*AE15*D15/100*1.28</f>
        <v>#DIV/0!</v>
      </c>
      <c r="K15" t="e">
        <f>B15/AF15/8*F15/5*1.04</f>
        <v>#DIV/0!</v>
      </c>
      <c r="L15" s="2" t="e">
        <f t="shared" si="3"/>
        <v>#DIV/0!</v>
      </c>
      <c r="M15" s="2">
        <f>I15*AI15*C15</f>
        <v>0</v>
      </c>
      <c r="AC15" s="3"/>
      <c r="AD15" s="3"/>
      <c r="AE15" s="3">
        <v>0.65288648169819063</v>
      </c>
      <c r="AF15" s="3">
        <v>0.76201120503632769</v>
      </c>
      <c r="AG15" s="3">
        <v>0.22164938832827863</v>
      </c>
      <c r="AH15" s="3">
        <f t="shared" ca="1" si="4"/>
        <v>0.96193587699157823</v>
      </c>
      <c r="AI15" s="3">
        <v>0.43656085848650228</v>
      </c>
      <c r="AJ15" s="3">
        <v>0.91300000000000003</v>
      </c>
      <c r="AK15" s="3">
        <v>1.08</v>
      </c>
      <c r="AL15" s="3">
        <v>2.14</v>
      </c>
      <c r="AM15" s="3">
        <v>2.2200000000000002</v>
      </c>
      <c r="AN15" s="3">
        <v>12.4</v>
      </c>
      <c r="AO15" s="3">
        <v>2.2200000000000002</v>
      </c>
      <c r="AP15" s="3">
        <v>2.4300000000000002</v>
      </c>
    </row>
    <row r="16" spans="1:42">
      <c r="A16" s="35" t="s">
        <v>42</v>
      </c>
      <c r="B16" s="36" t="e">
        <f t="shared" si="0"/>
        <v>#DIV/0!</v>
      </c>
      <c r="C16" s="56">
        <f>'Round 1'!C16</f>
        <v>0</v>
      </c>
      <c r="D16" s="4">
        <v>1.2</v>
      </c>
      <c r="E16" s="47">
        <f t="shared" si="1"/>
        <v>0.83333333333333337</v>
      </c>
      <c r="F16" s="4">
        <v>3.39</v>
      </c>
      <c r="G16" s="4">
        <f t="shared" si="2"/>
        <v>0.92592592592592582</v>
      </c>
      <c r="H16" s="4">
        <v>1.08</v>
      </c>
      <c r="I16" s="2">
        <v>0.94599999999999995</v>
      </c>
      <c r="J16" t="e">
        <f>B16*AE16*D16/100*1.28</f>
        <v>#DIV/0!</v>
      </c>
      <c r="K16" t="e">
        <f>B16/AF16/10*F16/12*1.04</f>
        <v>#DIV/0!</v>
      </c>
      <c r="L16" s="2" t="e">
        <f t="shared" si="3"/>
        <v>#DIV/0!</v>
      </c>
      <c r="M16" s="2">
        <f>I16*AI16*C16*2.1</f>
        <v>0</v>
      </c>
      <c r="AC16" s="3"/>
      <c r="AD16" s="3"/>
      <c r="AE16" s="3">
        <v>0.2705470560161567</v>
      </c>
      <c r="AF16" s="3">
        <v>0.22045931306674393</v>
      </c>
      <c r="AG16" s="3">
        <v>0.43631532779216042</v>
      </c>
      <c r="AH16" s="3">
        <f t="shared" ca="1" si="4"/>
        <v>0.40185348707351887</v>
      </c>
      <c r="AI16" s="3">
        <v>4.6954777524075175E-2</v>
      </c>
      <c r="AJ16" s="3">
        <v>0.94599999999999995</v>
      </c>
      <c r="AK16" s="3">
        <v>1.2</v>
      </c>
      <c r="AL16" s="3">
        <v>3.39</v>
      </c>
      <c r="AM16" s="3">
        <v>1.08</v>
      </c>
      <c r="AN16" s="3">
        <v>6.2</v>
      </c>
      <c r="AO16" s="3">
        <v>1.08</v>
      </c>
      <c r="AP16" s="3">
        <v>2.04</v>
      </c>
    </row>
    <row r="17" spans="1:42">
      <c r="A17" s="35" t="s">
        <v>43</v>
      </c>
      <c r="B17" s="36" t="e">
        <f t="shared" si="0"/>
        <v>#DIV/0!</v>
      </c>
      <c r="C17" s="56">
        <f>'Round 1'!C17</f>
        <v>0</v>
      </c>
      <c r="D17" s="4">
        <v>2.73</v>
      </c>
      <c r="E17" s="47">
        <f t="shared" si="1"/>
        <v>0.36630036630036628</v>
      </c>
      <c r="F17" s="4">
        <v>3.54</v>
      </c>
      <c r="G17" s="4">
        <f t="shared" si="2"/>
        <v>0.67567567567567566</v>
      </c>
      <c r="H17" s="4">
        <v>1.48</v>
      </c>
      <c r="I17" s="2">
        <v>0.99</v>
      </c>
      <c r="J17" t="e">
        <f>B17*AE17*D17/100*1.28*4.5</f>
        <v>#DIV/0!</v>
      </c>
      <c r="K17" t="e">
        <f>B17/AF17/10*F17/20*1.04</f>
        <v>#DIV/0!</v>
      </c>
      <c r="L17" s="2" t="e">
        <f t="shared" si="3"/>
        <v>#DIV/0!</v>
      </c>
      <c r="M17" s="2">
        <f>I17*AI17*C17</f>
        <v>0</v>
      </c>
      <c r="AC17" s="3"/>
      <c r="AD17" s="3"/>
      <c r="AE17" s="3">
        <v>0.79442754235433899</v>
      </c>
      <c r="AF17" s="3">
        <v>0.10554303757776939</v>
      </c>
      <c r="AG17" s="3">
        <v>0.97534837694599708</v>
      </c>
      <c r="AH17" s="3">
        <f t="shared" ca="1" si="4"/>
        <v>0.42270036189353277</v>
      </c>
      <c r="AI17" s="3">
        <v>0.27082975785376784</v>
      </c>
      <c r="AJ17" s="3">
        <v>0.99</v>
      </c>
      <c r="AK17" s="3">
        <v>2.73</v>
      </c>
      <c r="AL17" s="3">
        <v>3.54</v>
      </c>
      <c r="AM17" s="3">
        <v>1.48</v>
      </c>
      <c r="AN17" s="3">
        <v>6.8</v>
      </c>
      <c r="AO17" s="3">
        <v>1.76</v>
      </c>
      <c r="AP17" s="3">
        <v>2.1800000000000002</v>
      </c>
    </row>
    <row r="18" spans="1:42">
      <c r="D18" s="2"/>
      <c r="E18" s="2"/>
      <c r="F18" s="4"/>
      <c r="G18" s="4"/>
      <c r="H18" s="4"/>
      <c r="I18" s="2"/>
      <c r="J18"/>
      <c r="L18"/>
      <c r="AC18" s="3"/>
      <c r="AD18" s="3"/>
      <c r="AE18" s="3">
        <v>0.38172855680925577</v>
      </c>
      <c r="AF18" s="3">
        <v>0.93351798014903198</v>
      </c>
      <c r="AG18" s="3">
        <v>0.16228031967990197</v>
      </c>
      <c r="AH18" s="3">
        <f t="shared" ca="1" si="4"/>
        <v>0.11314870700494195</v>
      </c>
      <c r="AI18" s="3">
        <v>0.15958058726891056</v>
      </c>
    </row>
    <row r="19" spans="1:42">
      <c r="C19" s="57">
        <f>SUM(C2:C17)</f>
        <v>0</v>
      </c>
      <c r="D19" s="2"/>
      <c r="E19" s="2"/>
      <c r="F19" s="4"/>
      <c r="G19" s="4"/>
      <c r="H19" s="4"/>
      <c r="I19" s="2"/>
      <c r="J19"/>
      <c r="L19"/>
      <c r="AC19" s="3"/>
      <c r="AD19" s="3"/>
      <c r="AE19" s="3">
        <v>0.76854292032294769</v>
      </c>
      <c r="AF19" s="3">
        <v>0.48436768696630617</v>
      </c>
      <c r="AG19" s="3">
        <v>0.87758569173914813</v>
      </c>
      <c r="AH19" s="3">
        <f t="shared" ca="1" si="4"/>
        <v>0.57296468032639614</v>
      </c>
      <c r="AI19" s="3">
        <v>0.95495278030902397</v>
      </c>
    </row>
    <row r="20" spans="1:42">
      <c r="D20" s="2"/>
      <c r="E20" s="2"/>
      <c r="F20" s="2"/>
      <c r="G20" s="2"/>
      <c r="H20" s="2"/>
      <c r="I20" s="2"/>
      <c r="AC20" s="3"/>
      <c r="AD20" s="3"/>
      <c r="AE20" s="3">
        <v>0.61607377704215238</v>
      </c>
      <c r="AF20" s="3">
        <v>0.41065990409589004</v>
      </c>
      <c r="AG20" s="3">
        <v>0.13528418193367742</v>
      </c>
      <c r="AH20" s="3">
        <f t="shared" ca="1" si="4"/>
        <v>7.5466715797426032E-2</v>
      </c>
      <c r="AI20" s="3">
        <v>0.14507627726536476</v>
      </c>
    </row>
    <row r="21" spans="1:42">
      <c r="D21" s="2"/>
      <c r="E21" s="2"/>
      <c r="F21" s="2"/>
      <c r="G21" s="2"/>
      <c r="H21" s="2"/>
      <c r="I21" s="2"/>
      <c r="AC21" s="3"/>
      <c r="AD21" s="3"/>
      <c r="AE21" s="3">
        <v>0.62216655090975692</v>
      </c>
      <c r="AF21" s="3">
        <v>0.76234819267498644</v>
      </c>
      <c r="AG21" s="3">
        <v>5.2128708581976047E-2</v>
      </c>
      <c r="AH21" s="3">
        <f t="shared" ca="1" si="4"/>
        <v>0.52122989890467952</v>
      </c>
      <c r="AI21" s="3">
        <v>0.82198202391771491</v>
      </c>
    </row>
    <row r="22" spans="1:42">
      <c r="D22" s="2"/>
      <c r="E22" s="2"/>
      <c r="F22" s="2"/>
      <c r="G22" s="2"/>
      <c r="H22" s="2"/>
      <c r="I22" s="2"/>
      <c r="AC22" s="3"/>
      <c r="AD22" s="3"/>
    </row>
    <row r="23" spans="1:42">
      <c r="D23" s="2"/>
      <c r="E23" s="2"/>
      <c r="F23" s="2"/>
      <c r="G23" s="2"/>
      <c r="H23" s="2"/>
      <c r="I23" s="2"/>
      <c r="AC23" s="3"/>
      <c r="AD23" s="3"/>
    </row>
    <row r="24" spans="1:42">
      <c r="D24" s="2"/>
      <c r="E24" s="2"/>
      <c r="F24" s="2"/>
      <c r="G24" s="2"/>
      <c r="H24" s="2"/>
      <c r="I24" s="2"/>
      <c r="AC24" s="3"/>
      <c r="AD24" s="3"/>
    </row>
    <row r="25" spans="1:42">
      <c r="D25" s="2"/>
      <c r="E25" s="2"/>
      <c r="F25" s="2"/>
      <c r="G25" s="2"/>
      <c r="H25" s="2"/>
      <c r="I25" s="2"/>
    </row>
  </sheetData>
  <sheetProtection sheet="1" objects="1" scenarios="1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V25"/>
  <sheetViews>
    <sheetView zoomScaleNormal="100" workbookViewId="0"/>
  </sheetViews>
  <sheetFormatPr defaultRowHeight="15"/>
  <cols>
    <col min="1" max="1" width="16" style="12" customWidth="1"/>
    <col min="2" max="2" width="5" style="12" hidden="1" customWidth="1"/>
    <col min="3" max="3" width="12.7109375" style="57" customWidth="1"/>
    <col min="4" max="4" width="12.7109375" style="12" hidden="1" customWidth="1"/>
    <col min="5" max="7" width="12.7109375" style="12" customWidth="1"/>
    <col min="8" max="8" width="11" style="12" hidden="1" customWidth="1"/>
    <col min="9" max="9" width="7.42578125" style="12" bestFit="1" customWidth="1"/>
    <col min="10" max="10" width="12" style="2" hidden="1" customWidth="1"/>
    <col min="11" max="11" width="12" hidden="1" customWidth="1"/>
    <col min="12" max="12" width="11" style="2" hidden="1" customWidth="1"/>
    <col min="13" max="13" width="12" style="2" hidden="1" customWidth="1"/>
    <col min="14" max="14" width="6" style="2" hidden="1" customWidth="1"/>
    <col min="15" max="15" width="12.28515625" style="2" customWidth="1"/>
    <col min="16" max="16" width="11" style="2" bestFit="1" customWidth="1"/>
    <col min="17" max="17" width="9.140625" style="49"/>
    <col min="18" max="31" width="9.140625" style="2"/>
    <col min="32" max="32" width="9" style="2" customWidth="1"/>
    <col min="33" max="39" width="9.140625" style="3"/>
    <col min="40" max="40" width="10.85546875" style="3" bestFit="1" customWidth="1"/>
    <col min="41" max="41" width="9.140625" style="3"/>
    <col min="42" max="42" width="8.85546875" style="3" bestFit="1" customWidth="1"/>
    <col min="43" max="48" width="9.140625" style="3"/>
    <col min="49" max="16384" width="9.140625" style="2"/>
  </cols>
  <sheetData>
    <row r="1" spans="1:44">
      <c r="A1" s="6" t="s">
        <v>0</v>
      </c>
      <c r="B1" s="7"/>
      <c r="C1" s="55" t="s">
        <v>19</v>
      </c>
      <c r="D1" s="2" t="s">
        <v>17</v>
      </c>
      <c r="E1" s="2" t="s">
        <v>28</v>
      </c>
      <c r="F1" s="2" t="s">
        <v>18</v>
      </c>
      <c r="G1" s="2" t="s">
        <v>29</v>
      </c>
      <c r="H1" s="2" t="s">
        <v>22</v>
      </c>
      <c r="I1" s="2" t="s">
        <v>44</v>
      </c>
      <c r="J1" s="8" t="s">
        <v>17</v>
      </c>
      <c r="K1" s="1" t="s">
        <v>18</v>
      </c>
      <c r="L1" s="8" t="s">
        <v>22</v>
      </c>
      <c r="M1" s="8" t="s">
        <v>24</v>
      </c>
      <c r="N1" s="16"/>
      <c r="O1" s="15" t="s">
        <v>25</v>
      </c>
      <c r="P1" s="9" t="s">
        <v>28</v>
      </c>
      <c r="Q1" s="48" t="e">
        <f>1/SUM(J2:J17)*1</f>
        <v>#DIV/0!</v>
      </c>
      <c r="AE1" s="3"/>
      <c r="AF1" s="3"/>
      <c r="AM1" s="3" t="s">
        <v>17</v>
      </c>
      <c r="AN1" s="3" t="s">
        <v>18</v>
      </c>
      <c r="AO1" s="3" t="s">
        <v>22</v>
      </c>
    </row>
    <row r="2" spans="1:44">
      <c r="A2" s="35" t="s">
        <v>26</v>
      </c>
      <c r="B2" s="36" t="e">
        <f>C2/SUM(C$2:C$17)*100</f>
        <v>#DIV/0!</v>
      </c>
      <c r="C2" s="56">
        <f>'Round 2'!C2</f>
        <v>0</v>
      </c>
      <c r="D2" s="4">
        <v>0.79</v>
      </c>
      <c r="E2" s="47">
        <f>1/D2</f>
        <v>1.2658227848101264</v>
      </c>
      <c r="F2" s="4">
        <v>1.74</v>
      </c>
      <c r="G2" s="4">
        <f>1/H2</f>
        <v>0.5376344086021505</v>
      </c>
      <c r="H2" s="4">
        <v>1.86</v>
      </c>
      <c r="I2" s="2">
        <v>0.13400000000000001</v>
      </c>
      <c r="J2" t="e">
        <f>B2*AG2*D2/100*1.28*2</f>
        <v>#DIV/0!</v>
      </c>
      <c r="K2" t="e">
        <f>B2/AH2/10*F2/4*1.04*0.9</f>
        <v>#DIV/0!</v>
      </c>
      <c r="L2" s="2" t="e">
        <f>H2*B2/100</f>
        <v>#DIV/0!</v>
      </c>
      <c r="M2" s="2">
        <f>I2*AK2*C2*1.3</f>
        <v>0</v>
      </c>
      <c r="N2" s="2" t="e">
        <f>O2*B2/100</f>
        <v>#DIV/0!</v>
      </c>
      <c r="O2" s="15">
        <v>5.8</v>
      </c>
      <c r="P2" s="9" t="s">
        <v>18</v>
      </c>
      <c r="Q2" s="48" t="e">
        <f>SUM(K2:K17)/4</f>
        <v>#DIV/0!</v>
      </c>
      <c r="AE2" s="3"/>
      <c r="AF2" s="3"/>
      <c r="AG2" s="3">
        <v>0.79762976067302671</v>
      </c>
      <c r="AH2" s="3">
        <v>0.80376522802682704</v>
      </c>
      <c r="AI2" s="3">
        <v>0.937281295476878</v>
      </c>
      <c r="AJ2" s="3">
        <f ca="1">RAND()</f>
        <v>0.64580498297520372</v>
      </c>
      <c r="AK2" s="3">
        <v>0.54607464453801857</v>
      </c>
      <c r="AL2" s="3">
        <v>0.13400000000000001</v>
      </c>
      <c r="AM2" s="3">
        <v>0.79</v>
      </c>
      <c r="AN2" s="3">
        <v>1.74</v>
      </c>
      <c r="AO2" s="3">
        <v>1.86</v>
      </c>
      <c r="AP2" s="3">
        <v>14.6</v>
      </c>
      <c r="AQ2" s="3">
        <v>1.86</v>
      </c>
      <c r="AR2" s="3">
        <v>2.58</v>
      </c>
    </row>
    <row r="3" spans="1:44">
      <c r="A3" s="35" t="s">
        <v>27</v>
      </c>
      <c r="B3" s="36" t="e">
        <f t="shared" ref="B3:B17" si="0">C3/SUM(C$2:C$17)*100</f>
        <v>#DIV/0!</v>
      </c>
      <c r="C3" s="56">
        <f>'Round 2'!C3</f>
        <v>0</v>
      </c>
      <c r="D3" s="4">
        <v>0.59</v>
      </c>
      <c r="E3" s="47">
        <f t="shared" ref="E3:E17" si="1">1/D3</f>
        <v>1.6949152542372883</v>
      </c>
      <c r="F3" s="4">
        <v>1.42</v>
      </c>
      <c r="G3" s="4">
        <f t="shared" ref="G3:G17" si="2">1/H3</f>
        <v>0.53191489361702127</v>
      </c>
      <c r="H3" s="4">
        <v>1.88</v>
      </c>
      <c r="I3" s="2">
        <v>0.159</v>
      </c>
      <c r="J3" t="e">
        <f>B3*AG3*D3/20*0.6</f>
        <v>#DIV/0!</v>
      </c>
      <c r="K3" t="e">
        <f>B3/AH3/10*F3/8*1.04*1.3</f>
        <v>#DIV/0!</v>
      </c>
      <c r="L3" s="2" t="e">
        <f t="shared" ref="L3:L17" si="3">H3*B3/100</f>
        <v>#DIV/0!</v>
      </c>
      <c r="M3" s="2">
        <f>I3*AK3*C3</f>
        <v>0</v>
      </c>
      <c r="N3" s="2" t="e">
        <f t="shared" ref="N3:N17" si="4">O3*B3/100</f>
        <v>#DIV/0!</v>
      </c>
      <c r="O3" s="15">
        <v>1.3129999999999999</v>
      </c>
      <c r="P3" s="9" t="s">
        <v>29</v>
      </c>
      <c r="Q3" s="48" t="e">
        <f>1/SUM(L2:L17)</f>
        <v>#DIV/0!</v>
      </c>
      <c r="AE3" s="3"/>
      <c r="AF3" s="3"/>
      <c r="AG3" s="3">
        <v>0.18330422911708744</v>
      </c>
      <c r="AH3" s="3">
        <v>0.28556923517985577</v>
      </c>
      <c r="AI3" s="3">
        <v>0.88491703377948905</v>
      </c>
      <c r="AJ3" s="3">
        <f t="shared" ref="AJ3:AJ21" ca="1" si="5">RAND()</f>
        <v>0.34767437532467493</v>
      </c>
      <c r="AK3" s="3">
        <v>0.22002395666361629</v>
      </c>
      <c r="AL3" s="3">
        <v>0.159</v>
      </c>
      <c r="AM3" s="3">
        <v>0.59</v>
      </c>
      <c r="AN3" s="3">
        <v>1.42</v>
      </c>
      <c r="AO3" s="3">
        <v>1.88</v>
      </c>
      <c r="AP3" s="3">
        <v>7.84</v>
      </c>
      <c r="AQ3" s="3">
        <v>1.88</v>
      </c>
      <c r="AR3" s="3">
        <v>1.88</v>
      </c>
    </row>
    <row r="4" spans="1:44">
      <c r="A4" s="35" t="s">
        <v>30</v>
      </c>
      <c r="B4" s="36" t="e">
        <f t="shared" si="0"/>
        <v>#DIV/0!</v>
      </c>
      <c r="C4" s="56">
        <f>'Round 2'!C4</f>
        <v>0</v>
      </c>
      <c r="D4" s="4">
        <v>0.76</v>
      </c>
      <c r="E4" s="47">
        <f t="shared" si="1"/>
        <v>1.3157894736842106</v>
      </c>
      <c r="F4" s="4">
        <v>1.52</v>
      </c>
      <c r="G4" s="4">
        <f t="shared" si="2"/>
        <v>0.58823529411764708</v>
      </c>
      <c r="H4" s="4">
        <v>1.7</v>
      </c>
      <c r="I4" s="2">
        <v>0.25800000000000001</v>
      </c>
      <c r="J4" t="e">
        <f>B4*AG4*D4/100*1.28*1.3</f>
        <v>#DIV/0!</v>
      </c>
      <c r="K4" t="e">
        <f>B4/AH4/10*F4/8*1.04*3.4</f>
        <v>#DIV/0!</v>
      </c>
      <c r="L4" s="2" t="e">
        <f t="shared" si="3"/>
        <v>#DIV/0!</v>
      </c>
      <c r="M4" s="2">
        <f>I4*AK4*C4*0.8</f>
        <v>0</v>
      </c>
      <c r="N4" s="2" t="e">
        <f t="shared" si="4"/>
        <v>#DIV/0!</v>
      </c>
      <c r="O4" s="15">
        <v>2.25</v>
      </c>
      <c r="P4" s="9" t="s">
        <v>44</v>
      </c>
      <c r="Q4" s="48">
        <f>SUM(M2:M17)/25</f>
        <v>0</v>
      </c>
      <c r="AE4" s="3"/>
      <c r="AF4" s="3"/>
      <c r="AG4" s="3">
        <v>0.51663111024587116</v>
      </c>
      <c r="AH4" s="3">
        <v>0.73915125207478294</v>
      </c>
      <c r="AI4" s="3">
        <v>0.91428476730036323</v>
      </c>
      <c r="AJ4" s="3">
        <f t="shared" ca="1" si="5"/>
        <v>0.34617581756411386</v>
      </c>
      <c r="AK4" s="3">
        <v>0.80658108838317344</v>
      </c>
      <c r="AL4" s="3">
        <v>0.25800000000000001</v>
      </c>
      <c r="AM4" s="3">
        <v>0.76</v>
      </c>
      <c r="AN4" s="3">
        <v>1.52</v>
      </c>
      <c r="AO4" s="3">
        <v>1.7</v>
      </c>
      <c r="AP4" s="3">
        <v>17.899999999999999</v>
      </c>
      <c r="AQ4" s="3">
        <v>1.7</v>
      </c>
      <c r="AR4" s="3">
        <v>2.8250000000000002</v>
      </c>
    </row>
    <row r="5" spans="1:44">
      <c r="A5" s="35" t="s">
        <v>31</v>
      </c>
      <c r="B5" s="36" t="e">
        <f t="shared" si="0"/>
        <v>#DIV/0!</v>
      </c>
      <c r="C5" s="56">
        <f>'Round 2'!C5</f>
        <v>0</v>
      </c>
      <c r="D5" s="4">
        <v>0.75</v>
      </c>
      <c r="E5" s="47">
        <f t="shared" si="1"/>
        <v>1.3333333333333333</v>
      </c>
      <c r="F5" s="4">
        <v>2.2000000000000002</v>
      </c>
      <c r="G5" s="4">
        <f t="shared" si="2"/>
        <v>0.50505050505050508</v>
      </c>
      <c r="H5" s="4">
        <v>1.98</v>
      </c>
      <c r="I5" s="2">
        <v>0.28999999999999998</v>
      </c>
      <c r="J5" t="e">
        <f>B5*AG5*D5/100*20.28</f>
        <v>#DIV/0!</v>
      </c>
      <c r="K5" t="e">
        <f>B5/AH5/10*F5/8*1.04*1.2</f>
        <v>#DIV/0!</v>
      </c>
      <c r="L5" s="2" t="e">
        <f t="shared" si="3"/>
        <v>#DIV/0!</v>
      </c>
      <c r="M5" s="2">
        <f>I5*AK5*C5</f>
        <v>0</v>
      </c>
      <c r="N5" s="2" t="e">
        <f t="shared" si="4"/>
        <v>#DIV/0!</v>
      </c>
      <c r="O5" s="15">
        <v>5.2249999999999996</v>
      </c>
      <c r="P5" s="9" t="s">
        <v>25</v>
      </c>
      <c r="Q5" s="48" t="e">
        <f>SUM(N2:N17)</f>
        <v>#DIV/0!</v>
      </c>
      <c r="AE5" s="3"/>
      <c r="AF5" s="3"/>
      <c r="AG5" s="3">
        <v>1.4709164548914799E-2</v>
      </c>
      <c r="AH5" s="3">
        <v>0.53983699681732378</v>
      </c>
      <c r="AI5" s="3">
        <v>0.80917961249928694</v>
      </c>
      <c r="AJ5" s="3">
        <f t="shared" ca="1" si="5"/>
        <v>0.95777055650208531</v>
      </c>
      <c r="AK5" s="3">
        <v>0.9491101103492845</v>
      </c>
      <c r="AL5" s="3">
        <v>0.28999999999999998</v>
      </c>
      <c r="AM5" s="3">
        <v>1.94</v>
      </c>
      <c r="AN5" s="3">
        <v>2.2000000000000002</v>
      </c>
      <c r="AO5" s="3">
        <v>1.98</v>
      </c>
      <c r="AP5" s="3">
        <v>5.53</v>
      </c>
      <c r="AQ5" s="3">
        <v>1.98</v>
      </c>
      <c r="AR5" s="3">
        <v>1.42</v>
      </c>
    </row>
    <row r="6" spans="1:44">
      <c r="A6" s="35" t="s">
        <v>32</v>
      </c>
      <c r="B6" s="36" t="e">
        <f t="shared" si="0"/>
        <v>#DIV/0!</v>
      </c>
      <c r="C6" s="56">
        <f>'Round 2'!C6</f>
        <v>0</v>
      </c>
      <c r="D6" s="4">
        <v>0.99</v>
      </c>
      <c r="E6" s="47">
        <f t="shared" si="1"/>
        <v>1.0101010101010102</v>
      </c>
      <c r="F6" s="4">
        <v>2.29</v>
      </c>
      <c r="G6" s="4">
        <f t="shared" si="2"/>
        <v>0.5988023952095809</v>
      </c>
      <c r="H6" s="4">
        <v>1.67</v>
      </c>
      <c r="I6" s="2">
        <v>0.34100000000000003</v>
      </c>
      <c r="J6" t="e">
        <f>B6*AG6*D6/100*1.28</f>
        <v>#DIV/0!</v>
      </c>
      <c r="K6" t="e">
        <f>B6/AH6/10*F6/5*1.04*2.4</f>
        <v>#DIV/0!</v>
      </c>
      <c r="L6" s="2" t="e">
        <f t="shared" si="3"/>
        <v>#DIV/0!</v>
      </c>
      <c r="M6" s="2">
        <f>I6*AK6*C6*0.6</f>
        <v>0</v>
      </c>
      <c r="N6" s="2" t="e">
        <f t="shared" si="4"/>
        <v>#DIV/0!</v>
      </c>
      <c r="O6" s="15">
        <v>2.6989999999999998</v>
      </c>
      <c r="AE6" s="3"/>
      <c r="AF6" s="3"/>
      <c r="AG6" s="3">
        <v>0.78280086074861399</v>
      </c>
      <c r="AH6" s="3">
        <v>0.56765551766173827</v>
      </c>
      <c r="AI6" s="3">
        <v>0.37994185174173789</v>
      </c>
      <c r="AJ6" s="3">
        <f t="shared" ca="1" si="5"/>
        <v>0.53141601651404358</v>
      </c>
      <c r="AK6" s="3">
        <v>3.9965558157044501E-2</v>
      </c>
      <c r="AL6" s="3">
        <v>0.34100000000000003</v>
      </c>
      <c r="AM6" s="3">
        <v>0.99</v>
      </c>
      <c r="AN6" s="3">
        <v>2.29</v>
      </c>
      <c r="AO6" s="3">
        <v>1.67</v>
      </c>
      <c r="AP6" s="3">
        <v>8.4</v>
      </c>
      <c r="AQ6" s="3">
        <v>1.67</v>
      </c>
      <c r="AR6" s="3">
        <v>2.11</v>
      </c>
    </row>
    <row r="7" spans="1:44">
      <c r="A7" s="35" t="s">
        <v>33</v>
      </c>
      <c r="B7" s="36" t="e">
        <f t="shared" si="0"/>
        <v>#DIV/0!</v>
      </c>
      <c r="C7" s="56">
        <f>'Round 2'!C7</f>
        <v>0</v>
      </c>
      <c r="D7" s="4">
        <v>1.66</v>
      </c>
      <c r="E7" s="47">
        <f t="shared" si="1"/>
        <v>0.60240963855421692</v>
      </c>
      <c r="F7" s="4">
        <v>2.4900000000000002</v>
      </c>
      <c r="G7" s="4">
        <f t="shared" si="2"/>
        <v>0.6097560975609756</v>
      </c>
      <c r="H7" s="4">
        <v>1.64</v>
      </c>
      <c r="I7" s="2">
        <v>0.35099999999999998</v>
      </c>
      <c r="J7" t="e">
        <f>B7*AG7*D7/100*1.28*3.1</f>
        <v>#DIV/0!</v>
      </c>
      <c r="K7" t="e">
        <f>B7/AH7/10*F7/5*1.04</f>
        <v>#DIV/0!</v>
      </c>
      <c r="L7" s="2" t="e">
        <f t="shared" si="3"/>
        <v>#DIV/0!</v>
      </c>
      <c r="M7" s="2">
        <f>I7*AK7*C7</f>
        <v>0</v>
      </c>
      <c r="N7" s="2" t="e">
        <f t="shared" si="4"/>
        <v>#DIV/0!</v>
      </c>
      <c r="O7" s="15">
        <v>525</v>
      </c>
      <c r="AE7" s="3"/>
      <c r="AF7" s="3"/>
      <c r="AG7" s="3">
        <v>0.47337998806654591</v>
      </c>
      <c r="AH7" s="3">
        <v>0.83996804947202452</v>
      </c>
      <c r="AI7" s="3">
        <v>4.2148410418779481E-2</v>
      </c>
      <c r="AJ7" s="3">
        <f t="shared" ca="1" si="5"/>
        <v>0.73348453264695568</v>
      </c>
      <c r="AK7" s="3">
        <v>8.144711427589546E-3</v>
      </c>
      <c r="AL7" s="3">
        <v>0.35099999999999998</v>
      </c>
      <c r="AM7" s="3">
        <v>1.66</v>
      </c>
      <c r="AN7" s="3">
        <v>2.4900000000000002</v>
      </c>
      <c r="AO7" s="3">
        <v>1.64</v>
      </c>
      <c r="AP7" s="3">
        <v>6.8</v>
      </c>
      <c r="AQ7" s="3">
        <v>1.64</v>
      </c>
      <c r="AR7" s="3">
        <v>1.675</v>
      </c>
    </row>
    <row r="8" spans="1:44">
      <c r="A8" s="35" t="s">
        <v>34</v>
      </c>
      <c r="B8" s="36" t="e">
        <f t="shared" si="0"/>
        <v>#DIV/0!</v>
      </c>
      <c r="C8" s="56">
        <f>'Round 2'!C8</f>
        <v>0</v>
      </c>
      <c r="D8" s="4">
        <v>0.89</v>
      </c>
      <c r="E8" s="47">
        <f t="shared" si="1"/>
        <v>1.1235955056179776</v>
      </c>
      <c r="F8" s="4">
        <v>2.5099999999999998</v>
      </c>
      <c r="G8" s="4">
        <f t="shared" si="2"/>
        <v>0.5</v>
      </c>
      <c r="H8" s="4">
        <v>2</v>
      </c>
      <c r="I8" s="2">
        <v>0.41</v>
      </c>
      <c r="J8" t="e">
        <f>B8*AG8*D8/100*1.28</f>
        <v>#DIV/0!</v>
      </c>
      <c r="K8" t="e">
        <f>B8/AH8/10*F8/5*1.04*1.5</f>
        <v>#DIV/0!</v>
      </c>
      <c r="L8" s="2" t="e">
        <f t="shared" si="3"/>
        <v>#DIV/0!</v>
      </c>
      <c r="M8" s="2">
        <f>I8*AK8*C8*1.9</f>
        <v>0</v>
      </c>
      <c r="N8" s="2" t="e">
        <f t="shared" si="4"/>
        <v>#DIV/0!</v>
      </c>
      <c r="O8" s="15">
        <v>940</v>
      </c>
      <c r="AE8" s="3"/>
      <c r="AF8" s="3"/>
      <c r="AG8" s="3">
        <v>0.68734325399476071</v>
      </c>
      <c r="AH8" s="3">
        <v>0.34258744928602036</v>
      </c>
      <c r="AI8" s="3">
        <v>0.96627642460608265</v>
      </c>
      <c r="AJ8" s="3">
        <f t="shared" ca="1" si="5"/>
        <v>0.32031798331339711</v>
      </c>
      <c r="AK8" s="3">
        <v>0.38544264767149883</v>
      </c>
      <c r="AL8" s="3">
        <v>0.41</v>
      </c>
      <c r="AM8" s="3">
        <v>0.89</v>
      </c>
      <c r="AN8" s="3">
        <v>2.5099999999999998</v>
      </c>
      <c r="AO8" s="3">
        <v>2</v>
      </c>
      <c r="AP8" s="3">
        <v>11.6</v>
      </c>
      <c r="AQ8" s="3">
        <v>2</v>
      </c>
      <c r="AR8" s="3">
        <v>2.44</v>
      </c>
    </row>
    <row r="9" spans="1:44">
      <c r="A9" s="35" t="s">
        <v>35</v>
      </c>
      <c r="B9" s="36" t="e">
        <f t="shared" si="0"/>
        <v>#DIV/0!</v>
      </c>
      <c r="C9" s="56">
        <f>'Round 2'!C9</f>
        <v>0</v>
      </c>
      <c r="D9" s="5">
        <v>0.70250000000000001</v>
      </c>
      <c r="E9" s="47">
        <f t="shared" si="1"/>
        <v>1.4234875444839858</v>
      </c>
      <c r="F9" s="5">
        <v>2.6019999999999999</v>
      </c>
      <c r="G9" s="4">
        <f t="shared" si="2"/>
        <v>0.90909090909090906</v>
      </c>
      <c r="H9" s="5">
        <v>1.1000000000000001</v>
      </c>
      <c r="I9" s="2">
        <v>0.438</v>
      </c>
      <c r="J9" t="e">
        <f>B9*AG9*D9/100*1.28*2.3</f>
        <v>#DIV/0!</v>
      </c>
      <c r="K9" t="e">
        <f>B9/AH9/8*F9/5/3*0.3</f>
        <v>#DIV/0!</v>
      </c>
      <c r="L9" s="2" t="e">
        <f t="shared" si="3"/>
        <v>#DIV/0!</v>
      </c>
      <c r="M9" s="2">
        <f>I9*AK9*C9</f>
        <v>0</v>
      </c>
      <c r="N9" s="2" t="e">
        <f t="shared" si="4"/>
        <v>#DIV/0!</v>
      </c>
      <c r="O9" s="15">
        <v>660</v>
      </c>
      <c r="AE9" s="3"/>
      <c r="AF9" s="3"/>
      <c r="AG9" s="3">
        <v>0.53177485412963743</v>
      </c>
      <c r="AH9" s="3">
        <v>0.2105740678453718</v>
      </c>
      <c r="AI9" s="3">
        <v>0.61134969247912307</v>
      </c>
      <c r="AJ9" s="3">
        <f t="shared" ca="1" si="5"/>
        <v>0.71744966004903188</v>
      </c>
      <c r="AK9" s="3">
        <v>0.32626795813552256</v>
      </c>
      <c r="AL9" s="3">
        <v>0.438</v>
      </c>
      <c r="AM9" s="3">
        <v>0.70250000000000001</v>
      </c>
      <c r="AN9" s="3">
        <v>2.6019999999999999</v>
      </c>
      <c r="AO9" s="3">
        <v>1.1000000000000001</v>
      </c>
      <c r="AP9" s="3">
        <v>29.6</v>
      </c>
      <c r="AQ9" s="3">
        <v>1.1000000000000001</v>
      </c>
      <c r="AR9" s="3">
        <v>4.5</v>
      </c>
    </row>
    <row r="10" spans="1:44">
      <c r="A10" s="35" t="s">
        <v>36</v>
      </c>
      <c r="B10" s="36" t="e">
        <f t="shared" si="0"/>
        <v>#DIV/0!</v>
      </c>
      <c r="C10" s="56">
        <f>'Round 2'!C10</f>
        <v>0</v>
      </c>
      <c r="D10" s="4">
        <v>2.08</v>
      </c>
      <c r="E10" s="47">
        <f t="shared" si="1"/>
        <v>0.48076923076923073</v>
      </c>
      <c r="F10" s="4">
        <v>3.29</v>
      </c>
      <c r="G10" s="4">
        <f t="shared" si="2"/>
        <v>0.46728971962616822</v>
      </c>
      <c r="H10" s="4">
        <v>2.14</v>
      </c>
      <c r="I10" s="2">
        <v>0.51200000000000001</v>
      </c>
      <c r="J10" t="e">
        <f>B10*AG10*D10/100*1.28*3.4</f>
        <v>#DIV/0!</v>
      </c>
      <c r="K10" t="e">
        <f>B10/AH10/8*F10/5/4</f>
        <v>#DIV/0!</v>
      </c>
      <c r="L10" s="2" t="e">
        <f t="shared" si="3"/>
        <v>#DIV/0!</v>
      </c>
      <c r="M10" s="2">
        <f>I10*AK10*C10*2.1</f>
        <v>0</v>
      </c>
      <c r="N10" s="2" t="e">
        <f t="shared" si="4"/>
        <v>#DIV/0!</v>
      </c>
      <c r="O10" s="15">
        <v>4.1900000000000004</v>
      </c>
      <c r="AE10" s="3"/>
      <c r="AF10" s="3"/>
      <c r="AG10" s="3">
        <v>0.99190360178737658</v>
      </c>
      <c r="AH10" s="3">
        <v>0.16176529859320365</v>
      </c>
      <c r="AI10" s="3">
        <v>0.3430079391135451</v>
      </c>
      <c r="AJ10" s="3">
        <f t="shared" ca="1" si="5"/>
        <v>0.13970319243486129</v>
      </c>
      <c r="AK10" s="3">
        <v>0.12598563177304378</v>
      </c>
      <c r="AL10" s="3">
        <v>0.51200000000000001</v>
      </c>
      <c r="AM10" s="3">
        <v>2.08</v>
      </c>
      <c r="AN10" s="3">
        <v>3.29</v>
      </c>
      <c r="AO10" s="3">
        <v>2.14</v>
      </c>
      <c r="AP10" s="3">
        <v>6.6</v>
      </c>
      <c r="AQ10" s="3">
        <v>2.14</v>
      </c>
      <c r="AR10" s="3">
        <v>1.7649999999999999</v>
      </c>
    </row>
    <row r="11" spans="1:44">
      <c r="A11" s="35" t="s">
        <v>37</v>
      </c>
      <c r="B11" s="36" t="e">
        <f t="shared" si="0"/>
        <v>#DIV/0!</v>
      </c>
      <c r="C11" s="56">
        <f>'Round 2'!C11</f>
        <v>0</v>
      </c>
      <c r="D11" s="4">
        <v>1.6</v>
      </c>
      <c r="E11" s="47">
        <f t="shared" si="1"/>
        <v>0.625</v>
      </c>
      <c r="F11" s="4">
        <v>2.81</v>
      </c>
      <c r="G11" s="4">
        <f t="shared" si="2"/>
        <v>0.61349693251533743</v>
      </c>
      <c r="H11" s="4">
        <v>1.63</v>
      </c>
      <c r="I11" s="2">
        <v>0.57999999999999996</v>
      </c>
      <c r="J11" t="e">
        <f>B11*AG11*D11/100*1.28*1.3</f>
        <v>#DIV/0!</v>
      </c>
      <c r="K11" t="e">
        <f>B11/AH11/8*F11/5*1.04</f>
        <v>#DIV/0!</v>
      </c>
      <c r="L11" s="2" t="e">
        <f t="shared" si="3"/>
        <v>#DIV/0!</v>
      </c>
      <c r="M11" s="2">
        <f>I11*AK11*C11</f>
        <v>0</v>
      </c>
      <c r="N11" s="2" t="e">
        <f t="shared" si="4"/>
        <v>#DIV/0!</v>
      </c>
      <c r="O11" s="15">
        <v>590</v>
      </c>
      <c r="AE11" s="3"/>
      <c r="AF11" s="3"/>
      <c r="AG11" s="3">
        <v>0.47172165553372836</v>
      </c>
      <c r="AH11" s="3">
        <v>0.99867143702185701</v>
      </c>
      <c r="AI11" s="3">
        <v>0.62957460635646523</v>
      </c>
      <c r="AJ11" s="3">
        <f t="shared" ca="1" si="5"/>
        <v>0.73646083785012628</v>
      </c>
      <c r="AK11" s="3">
        <v>0.27519802432009166</v>
      </c>
      <c r="AL11" s="3">
        <v>0.57999999999999996</v>
      </c>
      <c r="AM11" s="3">
        <v>1.6</v>
      </c>
      <c r="AN11" s="3">
        <v>2.81</v>
      </c>
      <c r="AO11" s="3">
        <v>1.63</v>
      </c>
      <c r="AP11" s="3">
        <v>10.199999999999999</v>
      </c>
      <c r="AQ11" s="3">
        <v>1.63</v>
      </c>
      <c r="AR11" s="3">
        <v>2.0499999999999998</v>
      </c>
    </row>
    <row r="12" spans="1:44">
      <c r="A12" s="35" t="s">
        <v>38</v>
      </c>
      <c r="B12" s="36" t="e">
        <f t="shared" si="0"/>
        <v>#DIV/0!</v>
      </c>
      <c r="C12" s="56">
        <f>'Round 2'!C12</f>
        <v>0</v>
      </c>
      <c r="D12" s="4">
        <v>2.04</v>
      </c>
      <c r="E12" s="47">
        <f t="shared" si="1"/>
        <v>0.49019607843137253</v>
      </c>
      <c r="F12" s="4">
        <v>2.82</v>
      </c>
      <c r="G12" s="4">
        <f t="shared" si="2"/>
        <v>0.46728971962616822</v>
      </c>
      <c r="H12" s="4">
        <v>2.14</v>
      </c>
      <c r="I12" s="2">
        <v>0.61299999999999999</v>
      </c>
      <c r="J12" t="e">
        <f>B12*AG12*D12/100*1.28*2.3</f>
        <v>#DIV/0!</v>
      </c>
      <c r="K12" t="e">
        <f>B12/AH12/8*F12/5*1.04*1.8</f>
        <v>#DIV/0!</v>
      </c>
      <c r="L12" s="2" t="e">
        <f t="shared" si="3"/>
        <v>#DIV/0!</v>
      </c>
      <c r="M12" s="2">
        <f>I12*AK12*C12</f>
        <v>0</v>
      </c>
      <c r="N12" s="2" t="e">
        <f t="shared" si="4"/>
        <v>#DIV/0!</v>
      </c>
      <c r="O12" s="15">
        <v>9.625</v>
      </c>
      <c r="AE12" s="3"/>
      <c r="AF12" s="3"/>
      <c r="AG12" s="3">
        <v>0.75545449784389118</v>
      </c>
      <c r="AH12" s="3">
        <v>0.41897088375706848</v>
      </c>
      <c r="AI12" s="3">
        <v>0.13727688412027417</v>
      </c>
      <c r="AJ12" s="3">
        <f t="shared" ca="1" si="5"/>
        <v>0.75575420026865925</v>
      </c>
      <c r="AK12" s="3">
        <v>0.73084731936545799</v>
      </c>
      <c r="AL12" s="3">
        <v>0.61299999999999999</v>
      </c>
      <c r="AM12" s="3">
        <v>2.04</v>
      </c>
      <c r="AN12" s="3">
        <v>2.82</v>
      </c>
      <c r="AO12" s="3">
        <v>2.14</v>
      </c>
      <c r="AP12" s="3">
        <v>7.4</v>
      </c>
      <c r="AQ12" s="3">
        <v>2.14</v>
      </c>
      <c r="AR12" s="3">
        <v>1.9970000000000001</v>
      </c>
    </row>
    <row r="13" spans="1:44">
      <c r="A13" s="35" t="s">
        <v>39</v>
      </c>
      <c r="B13" s="36" t="e">
        <f t="shared" si="0"/>
        <v>#DIV/0!</v>
      </c>
      <c r="C13" s="56">
        <f>'Round 2'!C13</f>
        <v>0</v>
      </c>
      <c r="D13" s="4">
        <v>0.70499999999999996</v>
      </c>
      <c r="E13" s="47">
        <f t="shared" si="1"/>
        <v>1.4184397163120568</v>
      </c>
      <c r="F13" s="4">
        <v>2.87</v>
      </c>
      <c r="G13" s="4">
        <f t="shared" si="2"/>
        <v>0.7407407407407407</v>
      </c>
      <c r="H13" s="4">
        <v>1.35</v>
      </c>
      <c r="I13" s="2">
        <v>0.71499999999999997</v>
      </c>
      <c r="J13" t="e">
        <f>B13*AG13*D13/100*1.28</f>
        <v>#DIV/0!</v>
      </c>
      <c r="K13" t="e">
        <f>B13/AH13/8*F13/5*1.04</f>
        <v>#DIV/0!</v>
      </c>
      <c r="L13" s="2" t="e">
        <f t="shared" si="3"/>
        <v>#DIV/0!</v>
      </c>
      <c r="M13" s="2">
        <f>I13*AK13*C13*2.3</f>
        <v>0</v>
      </c>
      <c r="N13" s="2" t="e">
        <f t="shared" si="4"/>
        <v>#DIV/0!</v>
      </c>
      <c r="O13" s="15">
        <v>5.67</v>
      </c>
      <c r="AE13" s="3"/>
      <c r="AF13" s="3"/>
      <c r="AG13" s="3">
        <v>0.63102645033157168</v>
      </c>
      <c r="AH13" s="3">
        <v>0.97250317147316911</v>
      </c>
      <c r="AI13" s="3">
        <v>0.44471231270606293</v>
      </c>
      <c r="AJ13" s="3">
        <f t="shared" ca="1" si="5"/>
        <v>0.56700463111413946</v>
      </c>
      <c r="AK13" s="3">
        <v>0.24193335739961996</v>
      </c>
      <c r="AL13" s="3">
        <v>0.71499999999999997</v>
      </c>
      <c r="AM13" s="3">
        <v>0.70499999999999996</v>
      </c>
      <c r="AN13" s="3">
        <v>2.87</v>
      </c>
      <c r="AO13" s="3">
        <v>1.35</v>
      </c>
      <c r="AP13" s="3">
        <v>31.1</v>
      </c>
      <c r="AQ13" s="3">
        <v>1.35</v>
      </c>
      <c r="AR13" s="3">
        <v>3.08</v>
      </c>
    </row>
    <row r="14" spans="1:44">
      <c r="A14" s="35" t="s">
        <v>40</v>
      </c>
      <c r="B14" s="36" t="e">
        <f t="shared" si="0"/>
        <v>#DIV/0!</v>
      </c>
      <c r="C14" s="56">
        <f>'Round 2'!C14</f>
        <v>0</v>
      </c>
      <c r="D14" s="4">
        <v>0.66</v>
      </c>
      <c r="E14" s="47">
        <f t="shared" si="1"/>
        <v>1.5151515151515151</v>
      </c>
      <c r="F14" s="4">
        <v>2.87</v>
      </c>
      <c r="G14" s="4">
        <f t="shared" si="2"/>
        <v>0.70921985815602839</v>
      </c>
      <c r="H14" s="4">
        <v>1.41</v>
      </c>
      <c r="I14" s="2">
        <v>0.84299999999999997</v>
      </c>
      <c r="J14" t="e">
        <f>B14*AG14*D14/100*1.28*0.2</f>
        <v>#DIV/0!</v>
      </c>
      <c r="K14" t="e">
        <f>B14/AH14/8*F14/5*1.04*2.1</f>
        <v>#DIV/0!</v>
      </c>
      <c r="L14" s="2" t="e">
        <f t="shared" si="3"/>
        <v>#DIV/0!</v>
      </c>
      <c r="M14" s="2">
        <f>I14*AK14*C14</f>
        <v>0</v>
      </c>
      <c r="N14" s="2" t="e">
        <f t="shared" si="4"/>
        <v>#DIV/0!</v>
      </c>
      <c r="O14" s="15">
        <v>240</v>
      </c>
      <c r="AE14" s="3"/>
      <c r="AF14" s="3"/>
      <c r="AG14" s="3">
        <v>0.75909508475259357</v>
      </c>
      <c r="AH14" s="3">
        <v>0.67044244101493222</v>
      </c>
      <c r="AI14" s="3">
        <v>0.69439319880231065</v>
      </c>
      <c r="AJ14" s="3">
        <f t="shared" ca="1" si="5"/>
        <v>0.15769309392545949</v>
      </c>
      <c r="AK14" s="3">
        <v>0.38521043930777188</v>
      </c>
      <c r="AL14" s="3">
        <v>0.84299999999999997</v>
      </c>
      <c r="AM14" s="3">
        <v>0.66</v>
      </c>
      <c r="AN14" s="3">
        <v>2.87</v>
      </c>
      <c r="AO14" s="3">
        <v>1.41</v>
      </c>
      <c r="AP14" s="3">
        <v>22.7</v>
      </c>
      <c r="AQ14" s="3">
        <v>1.41</v>
      </c>
      <c r="AR14" s="3">
        <v>2.94</v>
      </c>
    </row>
    <row r="15" spans="1:44">
      <c r="A15" s="35" t="s">
        <v>41</v>
      </c>
      <c r="B15" s="36" t="e">
        <f t="shared" si="0"/>
        <v>#DIV/0!</v>
      </c>
      <c r="C15" s="56">
        <f>'Round 2'!C15</f>
        <v>0</v>
      </c>
      <c r="D15" s="4">
        <v>1.08</v>
      </c>
      <c r="E15" s="47">
        <f t="shared" si="1"/>
        <v>0.92592592592592582</v>
      </c>
      <c r="F15" s="4">
        <v>2.14</v>
      </c>
      <c r="G15" s="4">
        <f t="shared" si="2"/>
        <v>0.4504504504504504</v>
      </c>
      <c r="H15" s="4">
        <v>2.2200000000000002</v>
      </c>
      <c r="I15" s="2">
        <v>0.91300000000000003</v>
      </c>
      <c r="J15" t="e">
        <f>B15*AG15*D15/100*1.28</f>
        <v>#DIV/0!</v>
      </c>
      <c r="K15" t="e">
        <f>B15/AH15/8*F15/5*1.04</f>
        <v>#DIV/0!</v>
      </c>
      <c r="L15" s="2" t="e">
        <f t="shared" si="3"/>
        <v>#DIV/0!</v>
      </c>
      <c r="M15" s="2">
        <f>I15*AK15*C15</f>
        <v>0</v>
      </c>
      <c r="N15" s="2" t="e">
        <f t="shared" si="4"/>
        <v>#DIV/0!</v>
      </c>
      <c r="O15" s="15">
        <v>53000</v>
      </c>
      <c r="AE15" s="3"/>
      <c r="AF15" s="3"/>
      <c r="AG15" s="3">
        <v>0.65288648169819063</v>
      </c>
      <c r="AH15" s="3">
        <v>0.76201120503632769</v>
      </c>
      <c r="AI15" s="3">
        <v>0.22164938832827863</v>
      </c>
      <c r="AJ15" s="3">
        <f t="shared" ca="1" si="5"/>
        <v>0.33041314493718188</v>
      </c>
      <c r="AK15" s="3">
        <v>0.43656085848650228</v>
      </c>
      <c r="AL15" s="3">
        <v>0.91300000000000003</v>
      </c>
      <c r="AM15" s="3">
        <v>1.08</v>
      </c>
      <c r="AN15" s="3">
        <v>2.14</v>
      </c>
      <c r="AO15" s="3">
        <v>2.2200000000000002</v>
      </c>
      <c r="AP15" s="3">
        <v>12.4</v>
      </c>
      <c r="AQ15" s="3">
        <v>2.2200000000000002</v>
      </c>
      <c r="AR15" s="3">
        <v>2.4300000000000002</v>
      </c>
    </row>
    <row r="16" spans="1:44">
      <c r="A16" s="35" t="s">
        <v>42</v>
      </c>
      <c r="B16" s="36" t="e">
        <f t="shared" si="0"/>
        <v>#DIV/0!</v>
      </c>
      <c r="C16" s="56">
        <f>'Round 2'!C16</f>
        <v>0</v>
      </c>
      <c r="D16" s="4">
        <v>1.2</v>
      </c>
      <c r="E16" s="47">
        <f t="shared" si="1"/>
        <v>0.83333333333333337</v>
      </c>
      <c r="F16" s="4">
        <v>3.39</v>
      </c>
      <c r="G16" s="4">
        <f t="shared" si="2"/>
        <v>0.92592592592592582</v>
      </c>
      <c r="H16" s="4">
        <v>1.08</v>
      </c>
      <c r="I16" s="2">
        <v>0.94599999999999995</v>
      </c>
      <c r="J16" t="e">
        <f>B16*AG16*D16/100*1.28</f>
        <v>#DIV/0!</v>
      </c>
      <c r="K16" t="e">
        <f>B16/AH16/10*F16/12*1.04</f>
        <v>#DIV/0!</v>
      </c>
      <c r="L16" s="2" t="e">
        <f t="shared" si="3"/>
        <v>#DIV/0!</v>
      </c>
      <c r="M16" s="2">
        <f>I16*AK16*C16*2.1</f>
        <v>0</v>
      </c>
      <c r="N16" s="2" t="e">
        <f t="shared" si="4"/>
        <v>#DIV/0!</v>
      </c>
      <c r="O16" s="15">
        <v>17.399999999999999</v>
      </c>
      <c r="AE16" s="3"/>
      <c r="AF16" s="3"/>
      <c r="AG16" s="3">
        <v>0.2705470560161567</v>
      </c>
      <c r="AH16" s="3">
        <v>0.22045931306674393</v>
      </c>
      <c r="AI16" s="3">
        <v>0.43631532779216042</v>
      </c>
      <c r="AJ16" s="3">
        <f t="shared" ca="1" si="5"/>
        <v>0.16004506977013744</v>
      </c>
      <c r="AK16" s="3">
        <v>4.6954777524075175E-2</v>
      </c>
      <c r="AL16" s="3">
        <v>0.94599999999999995</v>
      </c>
      <c r="AM16" s="3">
        <v>1.2</v>
      </c>
      <c r="AN16" s="3">
        <v>3.39</v>
      </c>
      <c r="AO16" s="3">
        <v>1.08</v>
      </c>
      <c r="AP16" s="3">
        <v>6.2</v>
      </c>
      <c r="AQ16" s="3">
        <v>1.08</v>
      </c>
      <c r="AR16" s="3">
        <v>2.04</v>
      </c>
    </row>
    <row r="17" spans="1:44">
      <c r="A17" s="35" t="s">
        <v>43</v>
      </c>
      <c r="B17" s="36" t="e">
        <f t="shared" si="0"/>
        <v>#DIV/0!</v>
      </c>
      <c r="C17" s="56">
        <f>'Round 2'!C17</f>
        <v>0</v>
      </c>
      <c r="D17" s="4">
        <v>2.73</v>
      </c>
      <c r="E17" s="47">
        <f t="shared" si="1"/>
        <v>0.36630036630036628</v>
      </c>
      <c r="F17" s="4">
        <v>3.54</v>
      </c>
      <c r="G17" s="4">
        <f t="shared" si="2"/>
        <v>0.67567567567567566</v>
      </c>
      <c r="H17" s="4">
        <v>1.48</v>
      </c>
      <c r="I17" s="2">
        <v>0.99</v>
      </c>
      <c r="J17" t="e">
        <f>B17*AG17*D17/100*1.28*4.5</f>
        <v>#DIV/0!</v>
      </c>
      <c r="K17" t="e">
        <f>B17/AH17/10*F17/20*1.04</f>
        <v>#DIV/0!</v>
      </c>
      <c r="L17" s="2" t="e">
        <f t="shared" si="3"/>
        <v>#DIV/0!</v>
      </c>
      <c r="M17" s="2">
        <f>I17*AK17*C17</f>
        <v>0</v>
      </c>
      <c r="N17" s="2" t="e">
        <f t="shared" si="4"/>
        <v>#DIV/0!</v>
      </c>
      <c r="O17" s="15">
        <v>1.514</v>
      </c>
      <c r="AE17" s="3"/>
      <c r="AF17" s="3"/>
      <c r="AG17" s="3">
        <v>0.79442754235433899</v>
      </c>
      <c r="AH17" s="3">
        <v>0.10554303757776939</v>
      </c>
      <c r="AI17" s="3">
        <v>0.97534837694599708</v>
      </c>
      <c r="AJ17" s="3">
        <f t="shared" ca="1" si="5"/>
        <v>0.65012133677407813</v>
      </c>
      <c r="AK17" s="3">
        <v>0.27082975785376784</v>
      </c>
      <c r="AL17" s="3">
        <v>0.99</v>
      </c>
      <c r="AM17" s="3">
        <v>2.73</v>
      </c>
      <c r="AN17" s="3">
        <v>3.54</v>
      </c>
      <c r="AO17" s="3">
        <v>1.48</v>
      </c>
      <c r="AP17" s="3">
        <v>6.8</v>
      </c>
      <c r="AQ17" s="3">
        <v>1.76</v>
      </c>
      <c r="AR17" s="3">
        <v>2.1800000000000002</v>
      </c>
    </row>
    <row r="18" spans="1:44">
      <c r="D18" s="2"/>
      <c r="E18" s="2"/>
      <c r="F18" s="4"/>
      <c r="G18" s="4"/>
      <c r="H18" s="4"/>
      <c r="I18" s="2"/>
      <c r="J18"/>
      <c r="L18"/>
      <c r="AE18" s="3"/>
      <c r="AF18" s="3"/>
      <c r="AG18" s="3">
        <v>0.38172855680925577</v>
      </c>
      <c r="AH18" s="3">
        <v>0.93351798014903198</v>
      </c>
      <c r="AI18" s="3">
        <v>0.16228031967990197</v>
      </c>
      <c r="AJ18" s="3">
        <f t="shared" ca="1" si="5"/>
        <v>0.18890168992796608</v>
      </c>
      <c r="AK18" s="3">
        <v>0.15958058726891056</v>
      </c>
    </row>
    <row r="19" spans="1:44">
      <c r="C19" s="57">
        <f>SUM(C2:C17)</f>
        <v>0</v>
      </c>
      <c r="D19" s="2"/>
      <c r="E19" s="2"/>
      <c r="F19" s="4"/>
      <c r="G19" s="4"/>
      <c r="H19" s="4"/>
      <c r="I19" s="2"/>
      <c r="J19"/>
      <c r="L19"/>
      <c r="AE19" s="3"/>
      <c r="AF19" s="3"/>
      <c r="AG19" s="3">
        <v>0.76854292032294769</v>
      </c>
      <c r="AH19" s="3">
        <v>0.48436768696630617</v>
      </c>
      <c r="AI19" s="3">
        <v>0.87758569173914813</v>
      </c>
      <c r="AJ19" s="3">
        <f t="shared" ca="1" si="5"/>
        <v>0.30659591251817231</v>
      </c>
      <c r="AK19" s="3">
        <v>0.95495278030902397</v>
      </c>
    </row>
    <row r="20" spans="1:44">
      <c r="D20" s="2"/>
      <c r="E20" s="2"/>
      <c r="F20" s="2"/>
      <c r="G20" s="2"/>
      <c r="H20" s="2"/>
      <c r="I20" s="2"/>
      <c r="AE20" s="3"/>
      <c r="AF20" s="3"/>
      <c r="AG20" s="3">
        <v>0.61607377704215238</v>
      </c>
      <c r="AH20" s="3">
        <v>0.41065990409589004</v>
      </c>
      <c r="AI20" s="3">
        <v>0.13528418193367742</v>
      </c>
      <c r="AJ20" s="3">
        <f t="shared" ca="1" si="5"/>
        <v>0.70854446576551666</v>
      </c>
      <c r="AK20" s="3">
        <v>0.14507627726536476</v>
      </c>
    </row>
    <row r="21" spans="1:44">
      <c r="D21" s="2"/>
      <c r="E21" s="2"/>
      <c r="F21" s="2"/>
      <c r="G21" s="2"/>
      <c r="H21" s="2"/>
      <c r="I21" s="2"/>
      <c r="AE21" s="3"/>
      <c r="AF21" s="3"/>
      <c r="AG21" s="3">
        <v>0.62216655090975692</v>
      </c>
      <c r="AH21" s="3">
        <v>0.76234819267498644</v>
      </c>
      <c r="AI21" s="3">
        <v>5.2128708581976047E-2</v>
      </c>
      <c r="AJ21" s="3">
        <f t="shared" ca="1" si="5"/>
        <v>0.42443966222289697</v>
      </c>
      <c r="AK21" s="3">
        <v>0.82198202391771491</v>
      </c>
    </row>
    <row r="22" spans="1:44">
      <c r="D22" s="2"/>
      <c r="E22" s="2"/>
      <c r="F22" s="2"/>
      <c r="G22" s="2"/>
      <c r="H22" s="2"/>
      <c r="I22" s="2"/>
      <c r="AE22" s="3"/>
      <c r="AF22" s="3"/>
    </row>
    <row r="23" spans="1:44">
      <c r="D23" s="2"/>
      <c r="E23" s="2"/>
      <c r="F23" s="2"/>
      <c r="G23" s="2"/>
      <c r="H23" s="2"/>
      <c r="I23" s="2"/>
      <c r="AE23" s="3"/>
      <c r="AF23" s="3"/>
    </row>
    <row r="24" spans="1:44">
      <c r="D24" s="2"/>
      <c r="E24" s="2"/>
      <c r="F24" s="2"/>
      <c r="G24" s="2"/>
      <c r="H24" s="2"/>
      <c r="I24" s="2"/>
      <c r="AE24" s="3"/>
      <c r="AF24" s="3"/>
    </row>
    <row r="25" spans="1:44">
      <c r="D25" s="2"/>
      <c r="E25" s="2"/>
      <c r="F25" s="2"/>
      <c r="G25" s="2"/>
      <c r="H25" s="2"/>
      <c r="I25" s="2"/>
    </row>
  </sheetData>
  <sheetProtection sheet="1" objects="1" scenarios="1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4"/>
  <sheetViews>
    <sheetView workbookViewId="0"/>
  </sheetViews>
  <sheetFormatPr defaultRowHeight="15"/>
  <cols>
    <col min="1" max="1" width="13.42578125" bestFit="1" customWidth="1"/>
  </cols>
  <sheetData>
    <row r="1" spans="1:5">
      <c r="A1" s="1" t="s">
        <v>45</v>
      </c>
      <c r="B1" s="54" t="e">
        <f>SUM(A5:E5)</f>
        <v>#DIV/0!</v>
      </c>
    </row>
    <row r="2" spans="1:5">
      <c r="A2" s="2" t="s">
        <v>28</v>
      </c>
      <c r="B2" s="2" t="s">
        <v>18</v>
      </c>
      <c r="C2" s="2" t="s">
        <v>29</v>
      </c>
      <c r="D2" s="2" t="s">
        <v>44</v>
      </c>
      <c r="E2" s="15" t="s">
        <v>25</v>
      </c>
    </row>
    <row r="3" spans="1:5">
      <c r="A3" s="53">
        <f>AVERAGE('Round 3'!E2:E17)</f>
        <v>1.0265356694403718</v>
      </c>
      <c r="B3" s="53">
        <f>AVERAGE('Round 3'!F2:F17)</f>
        <v>2.5313749999999997</v>
      </c>
      <c r="C3" s="53">
        <f>AVERAGE('Round 3'!G2:G17)</f>
        <v>0.61441084537283031</v>
      </c>
      <c r="D3" s="53">
        <f>AVERAGE('Round 3'!I2:I17)</f>
        <v>0.53081250000000002</v>
      </c>
      <c r="E3" s="53">
        <f>AVERAGE('Round 3'!O2:O17)</f>
        <v>3500.6678750000001</v>
      </c>
    </row>
    <row r="5" spans="1:5">
      <c r="A5" s="53" t="e">
        <f>-('Round 3'!Q1-'Final Ranking'!A3)/A3*25</f>
        <v>#DIV/0!</v>
      </c>
      <c r="B5" s="53" t="e">
        <f>-('Round 3'!Q2-'Final Ranking'!B3)/B3*25</f>
        <v>#DIV/0!</v>
      </c>
      <c r="C5" s="53" t="e">
        <f>-('Round 3'!Q3-'Final Ranking'!C3)/C3*15</f>
        <v>#DIV/0!</v>
      </c>
      <c r="D5" s="53">
        <f>-('Round 3'!Q4-'Final Ranking'!D3)/D3*10</f>
        <v>10</v>
      </c>
      <c r="E5" s="53" t="e">
        <f>-('Round 3'!Q5-'Final Ranking'!E3)/E3*20</f>
        <v>#DIV/0!</v>
      </c>
    </row>
    <row r="10" spans="1:5">
      <c r="A10" s="1"/>
      <c r="B10" s="54"/>
    </row>
    <row r="11" spans="1:5">
      <c r="A11" s="2"/>
      <c r="B11" s="2"/>
      <c r="C11" s="2"/>
      <c r="D11" s="2"/>
      <c r="E11" s="15"/>
    </row>
    <row r="12" spans="1:5">
      <c r="A12" s="53"/>
      <c r="B12" s="53"/>
      <c r="C12" s="53"/>
      <c r="D12" s="53"/>
      <c r="E12" s="53"/>
    </row>
    <row r="14" spans="1:5">
      <c r="A14" s="53"/>
      <c r="B14" s="53"/>
      <c r="C14" s="53"/>
      <c r="D14" s="53"/>
      <c r="E14" s="5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B25"/>
  <sheetViews>
    <sheetView workbookViewId="0">
      <selection activeCell="K9" sqref="K9"/>
    </sheetView>
  </sheetViews>
  <sheetFormatPr defaultRowHeight="15"/>
  <cols>
    <col min="1" max="4" width="12.7109375" style="12" customWidth="1"/>
    <col min="5" max="5" width="11" style="12" bestFit="1" customWidth="1"/>
    <col min="6" max="6" width="7.7109375" style="12" bestFit="1" customWidth="1"/>
    <col min="7" max="7" width="9.5703125" style="2" bestFit="1" customWidth="1"/>
    <col min="8" max="8" width="7.85546875" bestFit="1" customWidth="1"/>
    <col min="9" max="9" width="11" style="2" bestFit="1" customWidth="1"/>
    <col min="10" max="10" width="7.5703125" style="2" bestFit="1" customWidth="1"/>
    <col min="11" max="11" width="4" style="2" bestFit="1" customWidth="1"/>
    <col min="12" max="12" width="6" style="2" bestFit="1" customWidth="1"/>
    <col min="13" max="13" width="11" style="2" bestFit="1" customWidth="1"/>
    <col min="14" max="16" width="9.140625" style="2"/>
    <col min="17" max="28" width="9" style="2" customWidth="1"/>
    <col min="29" max="35" width="9.140625" style="2"/>
    <col min="36" max="36" width="10.85546875" style="2" bestFit="1" customWidth="1"/>
    <col min="37" max="37" width="9.140625" style="2"/>
    <col min="38" max="38" width="8.85546875" style="2" bestFit="1" customWidth="1"/>
    <col min="39" max="16384" width="9.140625" style="2"/>
  </cols>
  <sheetData>
    <row r="1" spans="1:54">
      <c r="A1" s="6" t="s">
        <v>0</v>
      </c>
      <c r="B1" s="7" t="s">
        <v>19</v>
      </c>
      <c r="C1" s="15" t="s">
        <v>17</v>
      </c>
      <c r="D1" s="15" t="s">
        <v>18</v>
      </c>
      <c r="E1" s="15" t="s">
        <v>22</v>
      </c>
      <c r="F1" s="15" t="s">
        <v>23</v>
      </c>
      <c r="G1" s="16" t="s">
        <v>17</v>
      </c>
      <c r="H1" s="1" t="s">
        <v>18</v>
      </c>
      <c r="I1" s="16" t="s">
        <v>22</v>
      </c>
      <c r="J1" s="16" t="s">
        <v>24</v>
      </c>
      <c r="K1" s="16"/>
      <c r="L1" s="15" t="s">
        <v>25</v>
      </c>
      <c r="M1" s="9" t="s">
        <v>20</v>
      </c>
      <c r="N1" s="9">
        <f>SUM(G2:G17)*1</f>
        <v>1.3564609551509401</v>
      </c>
      <c r="AB1" s="3"/>
      <c r="AC1" s="3"/>
      <c r="AD1" s="3"/>
      <c r="AE1" s="3"/>
      <c r="AF1" s="3"/>
      <c r="AG1" s="3"/>
      <c r="AH1" s="3"/>
      <c r="AI1" s="3" t="s">
        <v>17</v>
      </c>
      <c r="AJ1" s="3" t="s">
        <v>18</v>
      </c>
      <c r="AK1" s="3" t="s">
        <v>22</v>
      </c>
      <c r="AL1" s="3"/>
      <c r="AM1" s="3"/>
      <c r="AN1" s="3"/>
      <c r="AO1" s="3"/>
      <c r="AP1" s="3"/>
      <c r="AQ1" s="3"/>
      <c r="AR1" s="3"/>
      <c r="BB1" s="17" t="s">
        <v>25</v>
      </c>
    </row>
    <row r="2" spans="1:54">
      <c r="A2" s="10" t="s">
        <v>1</v>
      </c>
      <c r="B2" s="11">
        <v>50</v>
      </c>
      <c r="C2" s="4">
        <v>0.79</v>
      </c>
      <c r="D2" s="4">
        <v>1.74</v>
      </c>
      <c r="E2" s="4">
        <v>1.86</v>
      </c>
      <c r="F2" s="15">
        <v>0.13400000000000001</v>
      </c>
      <c r="G2">
        <f>B2*AC2*C2/100*1.28*2</f>
        <v>0.8065632139925647</v>
      </c>
      <c r="H2">
        <f>B2/AD2/10*D2/4*1.04*0.9</f>
        <v>2.5328291508674865</v>
      </c>
      <c r="I2" s="2">
        <f t="shared" ref="I2:I17" si="0">E2*B2/100</f>
        <v>0.93</v>
      </c>
      <c r="J2" s="2">
        <f>F2*AG2*B2*1.3</f>
        <v>4.7563101539261421</v>
      </c>
      <c r="K2" s="2">
        <f t="shared" ref="K2:K17" si="1">L2*B2/100</f>
        <v>2.9</v>
      </c>
      <c r="L2" s="15">
        <v>5.8</v>
      </c>
      <c r="M2" s="9" t="s">
        <v>21</v>
      </c>
      <c r="N2" s="9">
        <f>SUM(H2:H17)/4</f>
        <v>1.0193540760275253</v>
      </c>
      <c r="AB2" s="3"/>
      <c r="AC2" s="3">
        <v>0.79762976067302671</v>
      </c>
      <c r="AD2" s="3">
        <v>0.80376522802682704</v>
      </c>
      <c r="AE2" s="3">
        <v>0.937281295476878</v>
      </c>
      <c r="AF2" s="3">
        <f ca="1">RAND()</f>
        <v>0.46481793335777155</v>
      </c>
      <c r="AG2" s="3">
        <v>0.54607464453801857</v>
      </c>
      <c r="AH2" s="3">
        <v>0.13400000000000001</v>
      </c>
      <c r="AI2" s="3">
        <v>0.79</v>
      </c>
      <c r="AJ2" s="3">
        <v>1.74</v>
      </c>
      <c r="AK2" s="3">
        <v>1.86</v>
      </c>
      <c r="AL2" s="3">
        <v>14.6</v>
      </c>
      <c r="AM2" s="3">
        <v>1.86</v>
      </c>
      <c r="AN2" s="3">
        <v>2.58</v>
      </c>
      <c r="AO2" s="3"/>
      <c r="AP2" s="3"/>
      <c r="AQ2" s="3"/>
      <c r="AR2" s="3"/>
      <c r="BB2" s="17">
        <v>5.8</v>
      </c>
    </row>
    <row r="3" spans="1:54">
      <c r="A3" s="10" t="s">
        <v>2</v>
      </c>
      <c r="B3" s="11"/>
      <c r="C3" s="4">
        <v>0.59</v>
      </c>
      <c r="D3" s="4">
        <v>1.42</v>
      </c>
      <c r="E3" s="4">
        <v>1.88</v>
      </c>
      <c r="F3" s="15">
        <v>0.159</v>
      </c>
      <c r="G3">
        <f>B3*AC3*C3/20*0.6</f>
        <v>0</v>
      </c>
      <c r="H3">
        <f>B3/AD3/10*D3/8*1.04*2.5</f>
        <v>0</v>
      </c>
      <c r="I3" s="2">
        <f t="shared" si="0"/>
        <v>0</v>
      </c>
      <c r="J3" s="2">
        <f>F3*AG3*B3</f>
        <v>0</v>
      </c>
      <c r="K3" s="2">
        <f t="shared" si="1"/>
        <v>0</v>
      </c>
      <c r="L3" s="15">
        <v>1.3129999999999999</v>
      </c>
      <c r="M3" s="9" t="s">
        <v>22</v>
      </c>
      <c r="N3" s="9">
        <f>SUM(I2:I17)</f>
        <v>1.48</v>
      </c>
      <c r="AB3" s="3"/>
      <c r="AC3" s="3">
        <v>0.18330422911708744</v>
      </c>
      <c r="AD3" s="3">
        <v>0.28556923517985577</v>
      </c>
      <c r="AE3" s="3">
        <v>0.88491703377948905</v>
      </c>
      <c r="AF3" s="3">
        <f t="shared" ref="AF3:AF21" ca="1" si="2">RAND()</f>
        <v>0.22516043493720539</v>
      </c>
      <c r="AG3" s="3">
        <v>0.22002395666361629</v>
      </c>
      <c r="AH3" s="3">
        <v>0.159</v>
      </c>
      <c r="AI3" s="3">
        <v>0.59</v>
      </c>
      <c r="AJ3" s="3">
        <v>1.42</v>
      </c>
      <c r="AK3" s="3">
        <v>1.88</v>
      </c>
      <c r="AL3" s="3">
        <v>7.84</v>
      </c>
      <c r="AM3" s="3">
        <v>1.88</v>
      </c>
      <c r="AN3" s="3">
        <v>1.88</v>
      </c>
      <c r="AO3" s="3"/>
      <c r="AP3" s="3"/>
      <c r="AQ3" s="3"/>
      <c r="AR3" s="3"/>
      <c r="BB3" s="17">
        <v>1.3129999999999999</v>
      </c>
    </row>
    <row r="4" spans="1:54">
      <c r="A4" s="10" t="s">
        <v>3</v>
      </c>
      <c r="B4" s="11"/>
      <c r="C4" s="4">
        <v>0.76</v>
      </c>
      <c r="D4" s="4">
        <v>1.52</v>
      </c>
      <c r="E4" s="4">
        <v>1.7</v>
      </c>
      <c r="F4" s="15">
        <v>0.25800000000000001</v>
      </c>
      <c r="G4">
        <f>B4*AC4*C4/100*1.28*1.3</f>
        <v>0</v>
      </c>
      <c r="H4">
        <f>B4/AD4/10*D4/8*1.04*3.4</f>
        <v>0</v>
      </c>
      <c r="I4" s="2">
        <f t="shared" si="0"/>
        <v>0</v>
      </c>
      <c r="J4" s="2">
        <f>F4*AG4*B4*0.8</f>
        <v>0</v>
      </c>
      <c r="K4" s="2">
        <f t="shared" si="1"/>
        <v>0</v>
      </c>
      <c r="L4" s="15">
        <v>2.25</v>
      </c>
      <c r="M4" s="9" t="s">
        <v>23</v>
      </c>
      <c r="N4" s="9">
        <f>SUM(J2:J17)/25</f>
        <v>0.47606313748376344</v>
      </c>
      <c r="AB4" s="3"/>
      <c r="AC4" s="3">
        <v>0.51663111024587116</v>
      </c>
      <c r="AD4" s="3">
        <v>0.73915125207478294</v>
      </c>
      <c r="AE4" s="3">
        <v>0.91428476730036323</v>
      </c>
      <c r="AF4" s="3">
        <f t="shared" ca="1" si="2"/>
        <v>0.41395239525708089</v>
      </c>
      <c r="AG4" s="3">
        <v>0.80658108838317344</v>
      </c>
      <c r="AH4" s="3">
        <v>0.25800000000000001</v>
      </c>
      <c r="AI4" s="3">
        <v>0.76</v>
      </c>
      <c r="AJ4" s="3">
        <v>1.52</v>
      </c>
      <c r="AK4" s="3">
        <v>1.7</v>
      </c>
      <c r="AL4" s="3">
        <v>17.899999999999999</v>
      </c>
      <c r="AM4" s="3">
        <v>1.7</v>
      </c>
      <c r="AN4" s="3">
        <v>2.8250000000000002</v>
      </c>
      <c r="AO4" s="3"/>
      <c r="AP4" s="3"/>
      <c r="AQ4" s="3"/>
      <c r="AR4" s="3"/>
      <c r="BB4" s="17">
        <v>2.25</v>
      </c>
    </row>
    <row r="5" spans="1:54">
      <c r="A5" s="10" t="s">
        <v>4</v>
      </c>
      <c r="B5" s="11"/>
      <c r="C5" s="4">
        <v>0.75</v>
      </c>
      <c r="D5" s="4">
        <v>2.2000000000000002</v>
      </c>
      <c r="E5" s="4">
        <v>1.98</v>
      </c>
      <c r="F5" s="15">
        <v>0.28999999999999998</v>
      </c>
      <c r="G5">
        <f>B5*AC5*C5/100*20.28</f>
        <v>0</v>
      </c>
      <c r="H5">
        <f>B5/AD5/10*D5/8*1.04*1.2</f>
        <v>0</v>
      </c>
      <c r="I5" s="2">
        <f t="shared" si="0"/>
        <v>0</v>
      </c>
      <c r="J5" s="2">
        <f>F5*AG5*B5</f>
        <v>0</v>
      </c>
      <c r="K5" s="2">
        <f t="shared" si="1"/>
        <v>0</v>
      </c>
      <c r="L5" s="15">
        <v>5.2249999999999996</v>
      </c>
      <c r="M5" s="9" t="s">
        <v>25</v>
      </c>
      <c r="N5" s="9">
        <f>SUM(K2:K17)</f>
        <v>332.9</v>
      </c>
      <c r="AB5" s="3"/>
      <c r="AC5" s="3">
        <v>1.4709164548914799E-2</v>
      </c>
      <c r="AD5" s="3">
        <v>0.53983699681732378</v>
      </c>
      <c r="AE5" s="3">
        <v>0.80917961249928694</v>
      </c>
      <c r="AF5" s="3">
        <f t="shared" ca="1" si="2"/>
        <v>0.75150621100925452</v>
      </c>
      <c r="AG5" s="3">
        <v>0.9491101103492845</v>
      </c>
      <c r="AH5" s="3">
        <v>0.28999999999999998</v>
      </c>
      <c r="AI5" s="3">
        <v>1.94</v>
      </c>
      <c r="AJ5" s="3">
        <v>2.2000000000000002</v>
      </c>
      <c r="AK5" s="3">
        <v>1.98</v>
      </c>
      <c r="AL5" s="3">
        <v>5.53</v>
      </c>
      <c r="AM5" s="3">
        <v>1.98</v>
      </c>
      <c r="AN5" s="3">
        <v>1.42</v>
      </c>
      <c r="AO5" s="3"/>
      <c r="AP5" s="3"/>
      <c r="AQ5" s="3"/>
      <c r="AR5" s="3"/>
      <c r="BB5" s="17">
        <v>5.2249999999999996</v>
      </c>
    </row>
    <row r="6" spans="1:54">
      <c r="A6" s="10" t="s">
        <v>5</v>
      </c>
      <c r="B6" s="11"/>
      <c r="C6" s="4">
        <v>0.99</v>
      </c>
      <c r="D6" s="4">
        <v>2.29</v>
      </c>
      <c r="E6" s="4">
        <v>1.67</v>
      </c>
      <c r="F6" s="15">
        <v>0.34100000000000003</v>
      </c>
      <c r="G6">
        <f>B6*AC6*C6/100*1.28</f>
        <v>0</v>
      </c>
      <c r="H6">
        <f>B6/AD6/10*D6/5*1.04*2.4</f>
        <v>0</v>
      </c>
      <c r="I6" s="2">
        <f t="shared" si="0"/>
        <v>0</v>
      </c>
      <c r="J6" s="2">
        <f>F6*AG6*B6*0.6</f>
        <v>0</v>
      </c>
      <c r="K6" s="2">
        <f t="shared" si="1"/>
        <v>0</v>
      </c>
      <c r="L6" s="15">
        <v>2.6989999999999998</v>
      </c>
      <c r="AB6" s="3"/>
      <c r="AC6" s="3">
        <v>0.78280086074861399</v>
      </c>
      <c r="AD6" s="3">
        <v>0.56765551766173827</v>
      </c>
      <c r="AE6" s="3">
        <v>0.37994185174173789</v>
      </c>
      <c r="AF6" s="3">
        <f t="shared" ca="1" si="2"/>
        <v>0.97140045590897217</v>
      </c>
      <c r="AG6" s="3">
        <v>3.9965558157044501E-2</v>
      </c>
      <c r="AH6" s="3">
        <v>0.34100000000000003</v>
      </c>
      <c r="AI6" s="3">
        <v>0.99</v>
      </c>
      <c r="AJ6" s="3">
        <v>2.29</v>
      </c>
      <c r="AK6" s="3">
        <v>1.67</v>
      </c>
      <c r="AL6" s="3">
        <v>8.4</v>
      </c>
      <c r="AM6" s="3">
        <v>1.67</v>
      </c>
      <c r="AN6" s="3">
        <v>2.11</v>
      </c>
      <c r="AO6" s="3"/>
      <c r="AP6" s="3"/>
      <c r="AQ6" s="3"/>
      <c r="AR6" s="3"/>
      <c r="BB6" s="17">
        <v>2.6989999999999998</v>
      </c>
    </row>
    <row r="7" spans="1:54">
      <c r="A7" s="10" t="s">
        <v>6</v>
      </c>
      <c r="B7" s="11"/>
      <c r="C7" s="4">
        <v>1.66</v>
      </c>
      <c r="D7" s="4">
        <v>2.4900000000000002</v>
      </c>
      <c r="E7" s="4">
        <v>1.64</v>
      </c>
      <c r="F7" s="15">
        <v>0.35099999999999998</v>
      </c>
      <c r="G7">
        <f>B7*AC7*C7/100*1.28*3.1</f>
        <v>0</v>
      </c>
      <c r="H7">
        <f>B7/AD7/10*D7/5*1.04</f>
        <v>0</v>
      </c>
      <c r="I7" s="2">
        <f t="shared" si="0"/>
        <v>0</v>
      </c>
      <c r="J7" s="2">
        <f>F7*AG7*B7</f>
        <v>0</v>
      </c>
      <c r="K7" s="2">
        <f t="shared" si="1"/>
        <v>0</v>
      </c>
      <c r="L7" s="15">
        <v>525</v>
      </c>
      <c r="AB7" s="3"/>
      <c r="AC7" s="3">
        <v>0.47337998806654591</v>
      </c>
      <c r="AD7" s="3">
        <v>0.83996804947202452</v>
      </c>
      <c r="AE7" s="3">
        <v>4.2148410418779481E-2</v>
      </c>
      <c r="AF7" s="3">
        <f t="shared" ca="1" si="2"/>
        <v>0.60929253574072284</v>
      </c>
      <c r="AG7" s="3">
        <v>8.144711427589546E-3</v>
      </c>
      <c r="AH7" s="3">
        <v>0.35099999999999998</v>
      </c>
      <c r="AI7" s="3">
        <v>1.66</v>
      </c>
      <c r="AJ7" s="3">
        <v>2.4900000000000002</v>
      </c>
      <c r="AK7" s="3">
        <v>1.64</v>
      </c>
      <c r="AL7" s="3">
        <v>6.8</v>
      </c>
      <c r="AM7" s="3">
        <v>1.64</v>
      </c>
      <c r="AN7" s="3">
        <v>1.675</v>
      </c>
      <c r="AO7" s="3"/>
      <c r="AP7" s="3"/>
      <c r="AQ7" s="3"/>
      <c r="AR7" s="3"/>
      <c r="BB7" s="17">
        <v>525</v>
      </c>
    </row>
    <row r="8" spans="1:54">
      <c r="A8" s="10" t="s">
        <v>7</v>
      </c>
      <c r="B8" s="11"/>
      <c r="C8" s="4">
        <v>0.89</v>
      </c>
      <c r="D8" s="4">
        <v>2.5099999999999998</v>
      </c>
      <c r="E8" s="4">
        <v>2</v>
      </c>
      <c r="F8" s="15">
        <v>0.41</v>
      </c>
      <c r="G8">
        <f>B8*AC8*C8/100*1.28</f>
        <v>0</v>
      </c>
      <c r="H8">
        <f>B8/AD8/10*D8/5*1.04*1.5</f>
        <v>0</v>
      </c>
      <c r="I8" s="2">
        <f t="shared" si="0"/>
        <v>0</v>
      </c>
      <c r="J8" s="2">
        <f>F8*AG8*B8*1.9</f>
        <v>0</v>
      </c>
      <c r="K8" s="2">
        <f t="shared" si="1"/>
        <v>0</v>
      </c>
      <c r="L8" s="15">
        <v>940</v>
      </c>
      <c r="AB8" s="3"/>
      <c r="AC8" s="3">
        <v>0.68734325399476071</v>
      </c>
      <c r="AD8" s="3">
        <v>0.34258744928602036</v>
      </c>
      <c r="AE8" s="3">
        <v>0.96627642460608265</v>
      </c>
      <c r="AF8" s="3">
        <f t="shared" ca="1" si="2"/>
        <v>0.13008213267190438</v>
      </c>
      <c r="AG8" s="3">
        <v>0.38544264767149883</v>
      </c>
      <c r="AH8" s="3">
        <v>0.41</v>
      </c>
      <c r="AI8" s="3">
        <v>0.89</v>
      </c>
      <c r="AJ8" s="3">
        <v>2.5099999999999998</v>
      </c>
      <c r="AK8" s="3">
        <v>2</v>
      </c>
      <c r="AL8" s="3">
        <v>11.6</v>
      </c>
      <c r="AM8" s="3">
        <v>2</v>
      </c>
      <c r="AN8" s="3">
        <v>2.44</v>
      </c>
      <c r="AO8" s="3"/>
      <c r="AP8" s="3"/>
      <c r="AQ8" s="3"/>
      <c r="AR8" s="3"/>
      <c r="BB8" s="17">
        <v>940</v>
      </c>
    </row>
    <row r="9" spans="1:54">
      <c r="A9" s="10" t="s">
        <v>8</v>
      </c>
      <c r="B9" s="11">
        <v>50</v>
      </c>
      <c r="C9" s="5">
        <v>0.70250000000000001</v>
      </c>
      <c r="D9" s="5">
        <v>2.6019999999999999</v>
      </c>
      <c r="E9" s="5">
        <v>1.1000000000000001</v>
      </c>
      <c r="F9" s="15">
        <v>0.438</v>
      </c>
      <c r="G9">
        <f>B9*AC9*C9/100*1.28*2.3</f>
        <v>0.54989774115837542</v>
      </c>
      <c r="H9">
        <f>B9/AD9/8*D9/5/3*0.3</f>
        <v>1.5445871532426145</v>
      </c>
      <c r="I9" s="2">
        <f t="shared" si="0"/>
        <v>0.55000000000000004</v>
      </c>
      <c r="J9" s="2">
        <f>F9*AG9*B9</f>
        <v>7.1452682831679439</v>
      </c>
      <c r="K9" s="2">
        <f t="shared" si="1"/>
        <v>330</v>
      </c>
      <c r="L9" s="15">
        <v>660</v>
      </c>
      <c r="AB9" s="3"/>
      <c r="AC9" s="3">
        <v>0.53177485412963743</v>
      </c>
      <c r="AD9" s="3">
        <v>0.2105740678453718</v>
      </c>
      <c r="AE9" s="3">
        <v>0.61134969247912307</v>
      </c>
      <c r="AF9" s="3">
        <f t="shared" ca="1" si="2"/>
        <v>0.35278332425063064</v>
      </c>
      <c r="AG9" s="3">
        <v>0.32626795813552256</v>
      </c>
      <c r="AH9" s="3">
        <v>0.438</v>
      </c>
      <c r="AI9" s="3">
        <v>0.70250000000000001</v>
      </c>
      <c r="AJ9" s="3">
        <v>2.6019999999999999</v>
      </c>
      <c r="AK9" s="3">
        <v>1.1000000000000001</v>
      </c>
      <c r="AL9" s="3">
        <v>29.6</v>
      </c>
      <c r="AM9" s="3">
        <v>1.1000000000000001</v>
      </c>
      <c r="AN9" s="3">
        <v>4.5</v>
      </c>
      <c r="AO9" s="3"/>
      <c r="AP9" s="3"/>
      <c r="AQ9" s="3"/>
      <c r="AR9" s="3"/>
      <c r="BB9" s="17">
        <v>660</v>
      </c>
    </row>
    <row r="10" spans="1:54">
      <c r="A10" s="10" t="s">
        <v>9</v>
      </c>
      <c r="B10" s="11"/>
      <c r="C10" s="4">
        <v>2.08</v>
      </c>
      <c r="D10" s="4">
        <v>3.29</v>
      </c>
      <c r="E10" s="4">
        <v>2.14</v>
      </c>
      <c r="F10" s="15">
        <v>0.51200000000000001</v>
      </c>
      <c r="G10">
        <f>B10*AC10*C10/100*1.28*3.4</f>
        <v>0</v>
      </c>
      <c r="H10">
        <f>B10/AD10/8*D10/5/4</f>
        <v>0</v>
      </c>
      <c r="I10" s="2">
        <f t="shared" si="0"/>
        <v>0</v>
      </c>
      <c r="J10" s="2">
        <f>F10*AG10*B10*2.1</f>
        <v>0</v>
      </c>
      <c r="K10" s="2">
        <f t="shared" si="1"/>
        <v>0</v>
      </c>
      <c r="L10" s="15">
        <v>4.1900000000000004</v>
      </c>
      <c r="AB10" s="3"/>
      <c r="AC10" s="3">
        <v>0.99190360178737658</v>
      </c>
      <c r="AD10" s="3">
        <v>0.16176529859320365</v>
      </c>
      <c r="AE10" s="3">
        <v>0.3430079391135451</v>
      </c>
      <c r="AF10" s="3">
        <f t="shared" ca="1" si="2"/>
        <v>0.38540939562513188</v>
      </c>
      <c r="AG10" s="3">
        <v>0.12598563177304378</v>
      </c>
      <c r="AH10" s="3">
        <v>0.51200000000000001</v>
      </c>
      <c r="AI10" s="3">
        <v>2.08</v>
      </c>
      <c r="AJ10" s="3">
        <v>3.29</v>
      </c>
      <c r="AK10" s="3">
        <v>2.14</v>
      </c>
      <c r="AL10" s="3">
        <v>6.6</v>
      </c>
      <c r="AM10" s="3">
        <v>2.14</v>
      </c>
      <c r="AN10" s="3">
        <v>1.7649999999999999</v>
      </c>
      <c r="AO10" s="3"/>
      <c r="AP10" s="3"/>
      <c r="AQ10" s="3"/>
      <c r="AR10" s="3"/>
      <c r="BB10" s="17">
        <v>4.1900000000000004</v>
      </c>
    </row>
    <row r="11" spans="1:54">
      <c r="A11" s="10" t="s">
        <v>10</v>
      </c>
      <c r="B11" s="11"/>
      <c r="C11" s="4">
        <v>1.6</v>
      </c>
      <c r="D11" s="4">
        <v>2.81</v>
      </c>
      <c r="E11" s="4">
        <v>1.63</v>
      </c>
      <c r="F11" s="15">
        <v>0.57999999999999996</v>
      </c>
      <c r="G11">
        <f>B11*AC11*C11/100*1.28*1.3</f>
        <v>0</v>
      </c>
      <c r="H11">
        <f>B11/AD11/8*D11/5*1.04</f>
        <v>0</v>
      </c>
      <c r="I11" s="2">
        <f t="shared" si="0"/>
        <v>0</v>
      </c>
      <c r="J11" s="2">
        <f>F11*AG11*B11</f>
        <v>0</v>
      </c>
      <c r="K11" s="2">
        <f t="shared" si="1"/>
        <v>0</v>
      </c>
      <c r="L11" s="15">
        <v>590</v>
      </c>
      <c r="AB11" s="3"/>
      <c r="AC11" s="3">
        <v>0.47172165553372836</v>
      </c>
      <c r="AD11" s="3">
        <v>0.99867143702185701</v>
      </c>
      <c r="AE11" s="3">
        <v>0.62957460635646523</v>
      </c>
      <c r="AF11" s="3">
        <f t="shared" ca="1" si="2"/>
        <v>0.17658842044081613</v>
      </c>
      <c r="AG11" s="3">
        <v>0.27519802432009166</v>
      </c>
      <c r="AH11" s="3">
        <v>0.57999999999999996</v>
      </c>
      <c r="AI11" s="3">
        <v>1.6</v>
      </c>
      <c r="AJ11" s="3">
        <v>2.81</v>
      </c>
      <c r="AK11" s="3">
        <v>1.63</v>
      </c>
      <c r="AL11" s="3">
        <v>10.199999999999999</v>
      </c>
      <c r="AM11" s="3">
        <v>1.63</v>
      </c>
      <c r="AN11" s="3">
        <v>2.0499999999999998</v>
      </c>
      <c r="AO11" s="3"/>
      <c r="AP11" s="3"/>
      <c r="AQ11" s="3"/>
      <c r="AR11" s="3"/>
      <c r="BB11" s="17">
        <v>590</v>
      </c>
    </row>
    <row r="12" spans="1:54">
      <c r="A12" s="10" t="s">
        <v>11</v>
      </c>
      <c r="B12" s="11"/>
      <c r="C12" s="4">
        <v>2.04</v>
      </c>
      <c r="D12" s="4">
        <v>2.82</v>
      </c>
      <c r="E12" s="4">
        <v>2.14</v>
      </c>
      <c r="F12" s="15">
        <v>0.61299999999999999</v>
      </c>
      <c r="G12">
        <f>B12*AC12*C12/100*1.28*2.3</f>
        <v>0</v>
      </c>
      <c r="H12">
        <f>B12/AD12/8*D12/5*1.04*1.8</f>
        <v>0</v>
      </c>
      <c r="I12" s="2">
        <f t="shared" si="0"/>
        <v>0</v>
      </c>
      <c r="J12" s="2">
        <f>F12*AG12*B12</f>
        <v>0</v>
      </c>
      <c r="K12" s="2">
        <f t="shared" si="1"/>
        <v>0</v>
      </c>
      <c r="L12" s="15">
        <v>9.625</v>
      </c>
      <c r="AB12" s="3"/>
      <c r="AC12" s="3">
        <v>0.75545449784389118</v>
      </c>
      <c r="AD12" s="3">
        <v>0.41897088375706848</v>
      </c>
      <c r="AE12" s="3">
        <v>0.13727688412027417</v>
      </c>
      <c r="AF12" s="3">
        <f t="shared" ca="1" si="2"/>
        <v>6.410995743064607E-2</v>
      </c>
      <c r="AG12" s="3">
        <v>0.73084731936545799</v>
      </c>
      <c r="AH12" s="3">
        <v>0.61299999999999999</v>
      </c>
      <c r="AI12" s="3">
        <v>2.04</v>
      </c>
      <c r="AJ12" s="3">
        <v>2.82</v>
      </c>
      <c r="AK12" s="3">
        <v>2.14</v>
      </c>
      <c r="AL12" s="3">
        <v>7.4</v>
      </c>
      <c r="AM12" s="3">
        <v>2.14</v>
      </c>
      <c r="AN12" s="3">
        <v>1.9970000000000001</v>
      </c>
      <c r="AO12" s="3"/>
      <c r="AP12" s="3"/>
      <c r="AQ12" s="3"/>
      <c r="AR12" s="3"/>
      <c r="BB12" s="17">
        <v>9.625</v>
      </c>
    </row>
    <row r="13" spans="1:54">
      <c r="A13" s="10" t="s">
        <v>12</v>
      </c>
      <c r="B13" s="11"/>
      <c r="C13" s="4">
        <v>0.70499999999999996</v>
      </c>
      <c r="D13" s="4">
        <v>2.87</v>
      </c>
      <c r="E13" s="4">
        <v>1.35</v>
      </c>
      <c r="F13" s="15">
        <v>0.71499999999999997</v>
      </c>
      <c r="G13">
        <f>B13*AC13*C13/100*1.28</f>
        <v>0</v>
      </c>
      <c r="H13">
        <f>B13/AD13/8*D13/5*1.04</f>
        <v>0</v>
      </c>
      <c r="I13" s="2">
        <f t="shared" si="0"/>
        <v>0</v>
      </c>
      <c r="J13" s="2">
        <f>F13*AG13*B13*2.3</f>
        <v>0</v>
      </c>
      <c r="K13" s="2">
        <f t="shared" si="1"/>
        <v>0</v>
      </c>
      <c r="L13" s="15">
        <v>5.67</v>
      </c>
      <c r="AB13" s="3"/>
      <c r="AC13" s="3">
        <v>0.63102645033157168</v>
      </c>
      <c r="AD13" s="3">
        <v>0.97250317147316911</v>
      </c>
      <c r="AE13" s="3">
        <v>0.44471231270606293</v>
      </c>
      <c r="AF13" s="3">
        <f t="shared" ca="1" si="2"/>
        <v>0.73152932258761716</v>
      </c>
      <c r="AG13" s="3">
        <v>0.24193335739961996</v>
      </c>
      <c r="AH13" s="3">
        <v>0.71499999999999997</v>
      </c>
      <c r="AI13" s="3">
        <v>0.70499999999999996</v>
      </c>
      <c r="AJ13" s="3">
        <v>2.87</v>
      </c>
      <c r="AK13" s="3">
        <v>1.35</v>
      </c>
      <c r="AL13" s="3">
        <v>31.1</v>
      </c>
      <c r="AM13" s="3">
        <v>1.35</v>
      </c>
      <c r="AN13" s="3">
        <v>3.08</v>
      </c>
      <c r="AO13" s="3"/>
      <c r="AP13" s="3"/>
      <c r="AQ13" s="3"/>
      <c r="AR13" s="3"/>
      <c r="BB13" s="17">
        <v>5.67</v>
      </c>
    </row>
    <row r="14" spans="1:54">
      <c r="A14" s="10" t="s">
        <v>13</v>
      </c>
      <c r="B14" s="11"/>
      <c r="C14" s="4">
        <v>0.66</v>
      </c>
      <c r="D14" s="4">
        <v>2.87</v>
      </c>
      <c r="E14" s="4">
        <v>1.41</v>
      </c>
      <c r="F14" s="15">
        <v>0.84299999999999997</v>
      </c>
      <c r="G14">
        <f>B14*AC14*C14/100*1.28*0.2</f>
        <v>0</v>
      </c>
      <c r="H14">
        <f>B14/AD14/8*D14/5*1.04*2.1</f>
        <v>0</v>
      </c>
      <c r="I14" s="2">
        <f t="shared" si="0"/>
        <v>0</v>
      </c>
      <c r="J14" s="2">
        <f>F14*AG14*B14</f>
        <v>0</v>
      </c>
      <c r="K14" s="2">
        <f t="shared" si="1"/>
        <v>0</v>
      </c>
      <c r="L14" s="15">
        <v>240</v>
      </c>
      <c r="AB14" s="3"/>
      <c r="AC14" s="3">
        <v>0.75909508475259357</v>
      </c>
      <c r="AD14" s="3">
        <v>0.67044244101493222</v>
      </c>
      <c r="AE14" s="3">
        <v>0.69439319880231065</v>
      </c>
      <c r="AF14" s="3">
        <f t="shared" ca="1" si="2"/>
        <v>0.26445927238515599</v>
      </c>
      <c r="AG14" s="3">
        <v>0.38521043930777188</v>
      </c>
      <c r="AH14" s="3">
        <v>0.84299999999999997</v>
      </c>
      <c r="AI14" s="3">
        <v>0.66</v>
      </c>
      <c r="AJ14" s="3">
        <v>2.87</v>
      </c>
      <c r="AK14" s="3">
        <v>1.41</v>
      </c>
      <c r="AL14" s="3">
        <v>22.7</v>
      </c>
      <c r="AM14" s="3">
        <v>1.41</v>
      </c>
      <c r="AN14" s="3">
        <v>2.94</v>
      </c>
      <c r="AO14" s="3"/>
      <c r="AP14" s="3"/>
      <c r="AQ14" s="3"/>
      <c r="AR14" s="3"/>
      <c r="BB14" s="17">
        <v>240</v>
      </c>
    </row>
    <row r="15" spans="1:54">
      <c r="A15" s="10" t="s">
        <v>14</v>
      </c>
      <c r="B15" s="11"/>
      <c r="C15" s="4">
        <v>1.08</v>
      </c>
      <c r="D15" s="4">
        <v>2.14</v>
      </c>
      <c r="E15" s="4">
        <v>2.2200000000000002</v>
      </c>
      <c r="F15" s="15">
        <v>0.91300000000000003</v>
      </c>
      <c r="G15">
        <f>B15*AC15*C15/100*1.28</f>
        <v>0</v>
      </c>
      <c r="H15">
        <f>B15/AD15/8*D15/5*1.04</f>
        <v>0</v>
      </c>
      <c r="I15" s="2">
        <f t="shared" si="0"/>
        <v>0</v>
      </c>
      <c r="J15" s="2">
        <f>F15*AG15*B15</f>
        <v>0</v>
      </c>
      <c r="K15" s="2">
        <f t="shared" si="1"/>
        <v>0</v>
      </c>
      <c r="L15" s="15">
        <v>53000</v>
      </c>
      <c r="AB15" s="3"/>
      <c r="AC15" s="3">
        <v>0.65288648169819063</v>
      </c>
      <c r="AD15" s="3">
        <v>0.76201120503632769</v>
      </c>
      <c r="AE15" s="3">
        <v>0.22164938832827863</v>
      </c>
      <c r="AF15" s="3">
        <f t="shared" ca="1" si="2"/>
        <v>0.21108938353942275</v>
      </c>
      <c r="AG15" s="3">
        <v>0.43656085848650228</v>
      </c>
      <c r="AH15" s="3">
        <v>0.91300000000000003</v>
      </c>
      <c r="AI15" s="3">
        <v>1.08</v>
      </c>
      <c r="AJ15" s="3">
        <v>2.14</v>
      </c>
      <c r="AK15" s="3">
        <v>2.2200000000000002</v>
      </c>
      <c r="AL15" s="3">
        <v>12.4</v>
      </c>
      <c r="AM15" s="3">
        <v>2.2200000000000002</v>
      </c>
      <c r="AN15" s="3">
        <v>2.4300000000000002</v>
      </c>
      <c r="AO15" s="3"/>
      <c r="AP15" s="3"/>
      <c r="AQ15" s="3"/>
      <c r="AR15" s="3"/>
      <c r="BB15" s="17">
        <v>53000</v>
      </c>
    </row>
    <row r="16" spans="1:54">
      <c r="A16" s="10" t="s">
        <v>15</v>
      </c>
      <c r="B16" s="11"/>
      <c r="C16" s="4">
        <v>1.2</v>
      </c>
      <c r="D16" s="4">
        <v>3.39</v>
      </c>
      <c r="E16" s="4">
        <v>1.08</v>
      </c>
      <c r="F16" s="15">
        <v>0.94599999999999995</v>
      </c>
      <c r="G16">
        <f>B16*AC16*C16/100*1.28</f>
        <v>0</v>
      </c>
      <c r="H16">
        <f>B16/AD16/10*D16/12*1.04</f>
        <v>0</v>
      </c>
      <c r="I16" s="2">
        <f t="shared" si="0"/>
        <v>0</v>
      </c>
      <c r="J16" s="2">
        <f>F16*AG16*B16*2.1</f>
        <v>0</v>
      </c>
      <c r="K16" s="2">
        <f t="shared" si="1"/>
        <v>0</v>
      </c>
      <c r="L16" s="15">
        <v>17.399999999999999</v>
      </c>
      <c r="AB16" s="3"/>
      <c r="AC16" s="3">
        <v>0.2705470560161567</v>
      </c>
      <c r="AD16" s="3">
        <v>0.22045931306674393</v>
      </c>
      <c r="AE16" s="3">
        <v>0.43631532779216042</v>
      </c>
      <c r="AF16" s="3">
        <f t="shared" ca="1" si="2"/>
        <v>0.52201662058901377</v>
      </c>
      <c r="AG16" s="3">
        <v>4.6954777524075175E-2</v>
      </c>
      <c r="AH16" s="3">
        <v>0.94599999999999995</v>
      </c>
      <c r="AI16" s="3">
        <v>1.2</v>
      </c>
      <c r="AJ16" s="3">
        <v>3.39</v>
      </c>
      <c r="AK16" s="3">
        <v>1.08</v>
      </c>
      <c r="AL16" s="3">
        <v>6.2</v>
      </c>
      <c r="AM16" s="3">
        <v>1.08</v>
      </c>
      <c r="AN16" s="3">
        <v>2.04</v>
      </c>
      <c r="AO16" s="3"/>
      <c r="AP16" s="3"/>
      <c r="AQ16" s="3"/>
      <c r="AR16" s="3"/>
      <c r="BB16" s="17">
        <v>17.399999999999999</v>
      </c>
    </row>
    <row r="17" spans="1:54">
      <c r="A17" s="10" t="s">
        <v>16</v>
      </c>
      <c r="B17" s="11"/>
      <c r="C17" s="4">
        <v>2.73</v>
      </c>
      <c r="D17" s="4">
        <v>3.54</v>
      </c>
      <c r="E17" s="4">
        <v>1.48</v>
      </c>
      <c r="F17" s="15">
        <v>0.99</v>
      </c>
      <c r="G17">
        <f>B17*AC17*C17/100*1.28*4.5</f>
        <v>0</v>
      </c>
      <c r="H17">
        <f>B17/AD17/10*D17/20*1.04</f>
        <v>0</v>
      </c>
      <c r="I17" s="2">
        <f t="shared" si="0"/>
        <v>0</v>
      </c>
      <c r="J17" s="2">
        <f>F17*AG17*B17</f>
        <v>0</v>
      </c>
      <c r="K17" s="2">
        <f t="shared" si="1"/>
        <v>0</v>
      </c>
      <c r="L17" s="15">
        <v>1.514</v>
      </c>
      <c r="AB17" s="3"/>
      <c r="AC17" s="3">
        <v>0.79442754235433899</v>
      </c>
      <c r="AD17" s="3">
        <v>0.10554303757776939</v>
      </c>
      <c r="AE17" s="3">
        <v>0.97534837694599708</v>
      </c>
      <c r="AF17" s="3">
        <f t="shared" ca="1" si="2"/>
        <v>0.87858820899501566</v>
      </c>
      <c r="AG17" s="3">
        <v>0.27082975785376784</v>
      </c>
      <c r="AH17" s="3">
        <v>0.99</v>
      </c>
      <c r="AI17" s="3">
        <v>2.73</v>
      </c>
      <c r="AJ17" s="3">
        <v>3.54</v>
      </c>
      <c r="AK17" s="3">
        <v>1.48</v>
      </c>
      <c r="AL17" s="3">
        <v>6.8</v>
      </c>
      <c r="AM17" s="3">
        <v>1.76</v>
      </c>
      <c r="AN17" s="3">
        <v>2.1800000000000002</v>
      </c>
      <c r="AO17" s="3"/>
      <c r="AP17" s="3"/>
      <c r="AQ17" s="3"/>
      <c r="AR17" s="3"/>
      <c r="BB17" s="17">
        <v>1.514</v>
      </c>
    </row>
    <row r="18" spans="1:54">
      <c r="C18" s="2"/>
      <c r="D18" s="13"/>
      <c r="E18" s="13"/>
      <c r="F18" s="2"/>
      <c r="AB18" s="3"/>
      <c r="AC18" s="3">
        <v>0.38172855680925577</v>
      </c>
      <c r="AD18" s="3">
        <v>0.93351798014903198</v>
      </c>
      <c r="AE18" s="3">
        <v>0.16228031967990197</v>
      </c>
      <c r="AF18" s="3">
        <f t="shared" ca="1" si="2"/>
        <v>0.2284854032852488</v>
      </c>
      <c r="AG18" s="3">
        <v>0.15958058726891056</v>
      </c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</row>
    <row r="19" spans="1:54">
      <c r="C19" s="2"/>
      <c r="D19" s="4"/>
      <c r="E19" s="4"/>
      <c r="F19" s="2"/>
      <c r="AB19" s="3"/>
      <c r="AC19" s="3">
        <v>0.76854292032294769</v>
      </c>
      <c r="AD19" s="3">
        <v>0.48436768696630617</v>
      </c>
      <c r="AE19" s="3">
        <v>0.87758569173914813</v>
      </c>
      <c r="AF19" s="3">
        <f t="shared" ca="1" si="2"/>
        <v>0.93635414364570568</v>
      </c>
      <c r="AG19" s="3">
        <v>0.95495278030902397</v>
      </c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</row>
    <row r="20" spans="1:54">
      <c r="C20" s="2"/>
      <c r="D20" s="2"/>
      <c r="E20" s="2"/>
      <c r="F20" s="2"/>
      <c r="AB20" s="3"/>
      <c r="AC20" s="3">
        <v>0.61607377704215238</v>
      </c>
      <c r="AD20" s="3">
        <v>0.41065990409589004</v>
      </c>
      <c r="AE20" s="3">
        <v>0.13528418193367742</v>
      </c>
      <c r="AF20" s="3">
        <f t="shared" ca="1" si="2"/>
        <v>0.36774008851060636</v>
      </c>
      <c r="AG20" s="3">
        <v>0.14507627726536476</v>
      </c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</row>
    <row r="21" spans="1:54">
      <c r="C21" s="2"/>
      <c r="D21" s="2"/>
      <c r="E21" s="2"/>
      <c r="F21" s="2"/>
      <c r="AB21" s="3"/>
      <c r="AC21" s="3">
        <v>0.62216655090975692</v>
      </c>
      <c r="AD21" s="3">
        <v>0.76234819267498644</v>
      </c>
      <c r="AE21" s="3">
        <v>5.2128708581976047E-2</v>
      </c>
      <c r="AF21" s="3">
        <f t="shared" ca="1" si="2"/>
        <v>1.209396373323024E-2</v>
      </c>
      <c r="AG21" s="3">
        <v>0.82198202391771491</v>
      </c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</row>
    <row r="22" spans="1:54">
      <c r="C22" s="2"/>
      <c r="D22" s="2"/>
      <c r="E22" s="2"/>
      <c r="F22" s="2"/>
      <c r="M22" s="14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</row>
    <row r="23" spans="1:54">
      <c r="C23" s="2"/>
      <c r="D23" s="2"/>
      <c r="E23" s="2"/>
      <c r="F23" s="2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</row>
    <row r="24" spans="1:54">
      <c r="C24" s="2"/>
      <c r="D24" s="2"/>
      <c r="E24" s="2"/>
      <c r="F24" s="2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54">
      <c r="C25" s="2"/>
      <c r="D25" s="2"/>
      <c r="E25" s="2"/>
      <c r="F25" s="2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28" sqref="I28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Round 1</vt:lpstr>
      <vt:lpstr>Round 2</vt:lpstr>
      <vt:lpstr>Round 3</vt:lpstr>
      <vt:lpstr>Final Ranking</vt:lpstr>
      <vt:lpstr>Sheet5</vt:lpstr>
      <vt:lpstr>Sheet 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Scott</cp:lastModifiedBy>
  <dcterms:created xsi:type="dcterms:W3CDTF">2018-02-21T16:05:18Z</dcterms:created>
  <dcterms:modified xsi:type="dcterms:W3CDTF">2018-05-24T14:01:45Z</dcterms:modified>
</cp:coreProperties>
</file>